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firstSheet="1" activeTab="1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externalReferences>
    <externalReference r:id="rId5"/>
  </externalReferences>
  <definedNames>
    <definedName name="_xlnm.Print_Area" localSheetId="1">'6d. Servicios Personales x Cate'!$A$1:$G$35</definedName>
  </definedNames>
  <calcPr calcId="125725"/>
  <fileRecoveryPr autoRecover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/>
  <c r="F34"/>
  <c r="E34"/>
  <c r="D34"/>
  <c r="C34"/>
  <c r="B34"/>
  <c r="G23"/>
  <c r="F23"/>
  <c r="E23"/>
  <c r="D23"/>
  <c r="C23"/>
  <c r="B23"/>
  <c r="G11"/>
  <c r="F11"/>
  <c r="E11"/>
  <c r="D11"/>
  <c r="C11"/>
  <c r="B11"/>
  <c r="A22" i="3" l="1" a="1"/>
  <c r="G24" a="1"/>
  <c r="E24" a="1"/>
  <c r="C24" a="1"/>
  <c r="A24" a="1"/>
  <c r="F23" a="1"/>
  <c r="D23" a="1"/>
  <c r="B23" a="1"/>
  <c r="G22" a="1"/>
  <c r="E22" a="1"/>
  <c r="C22" a="1"/>
  <c r="F21" a="1"/>
  <c r="D21" a="1"/>
  <c r="B21" a="1"/>
  <c r="G20" a="1"/>
  <c r="E20" a="1"/>
  <c r="C20" a="1"/>
  <c r="A20" a="1"/>
  <c r="F24" a="1"/>
  <c r="D24" a="1"/>
  <c r="B24" a="1"/>
  <c r="A23" a="1"/>
  <c r="G21" a="1"/>
  <c r="F20" a="1"/>
  <c r="F19" a="1"/>
  <c r="B19" a="1"/>
  <c r="E18" a="1"/>
  <c r="A18" a="1"/>
  <c r="D17" a="1"/>
  <c r="G16" a="1"/>
  <c r="C16" a="1"/>
  <c r="F15" a="1"/>
  <c r="B15" a="1"/>
  <c r="E14" a="1"/>
  <c r="A14" a="1"/>
  <c r="D13" a="1"/>
  <c r="G12" a="1"/>
  <c r="C12" a="1"/>
  <c r="F11" a="1"/>
  <c r="B11" a="1"/>
  <c r="E10" a="1"/>
  <c r="A10" a="1"/>
  <c r="D9" a="1"/>
  <c r="G8" a="1"/>
  <c r="C8" a="1"/>
  <c r="F7" a="1"/>
  <c r="B7" a="1"/>
  <c r="E6" a="1"/>
  <c r="A6" a="1"/>
  <c r="D5" a="1"/>
  <c r="G4" a="1"/>
  <c r="C4" a="1"/>
  <c r="F3" a="1"/>
  <c r="B3" a="1"/>
  <c r="E2" a="1"/>
  <c r="A2" a="1"/>
  <c r="D1" a="1"/>
  <c r="G1" a="1"/>
  <c r="E1" a="1"/>
  <c r="G23" a="1"/>
  <c r="F22" a="1"/>
  <c r="E21" a="1"/>
  <c r="D20" a="1"/>
  <c r="E19" a="1"/>
  <c r="A19" a="1"/>
  <c r="D18" a="1"/>
  <c r="G17" a="1"/>
  <c r="C17" a="1"/>
  <c r="F16" a="1"/>
  <c r="B16" a="1"/>
  <c r="E15" a="1"/>
  <c r="A15" a="1"/>
  <c r="D14" a="1"/>
  <c r="G13" a="1"/>
  <c r="C13" a="1"/>
  <c r="F12" a="1"/>
  <c r="B12" a="1"/>
  <c r="E11" a="1"/>
  <c r="A11" a="1"/>
  <c r="D10" a="1"/>
  <c r="G9" a="1"/>
  <c r="C9" a="1"/>
  <c r="F8" a="1"/>
  <c r="B8" a="1"/>
  <c r="E7" a="1"/>
  <c r="A7" a="1"/>
  <c r="D6" a="1"/>
  <c r="G5" a="1"/>
  <c r="C5" a="1"/>
  <c r="F4" a="1"/>
  <c r="B4" a="1"/>
  <c r="E3" a="1"/>
  <c r="A3" a="1"/>
  <c r="D2" a="1"/>
  <c r="C1" a="1"/>
  <c r="E23" a="1"/>
  <c r="D22" a="1"/>
  <c r="C21" a="1"/>
  <c r="B20" a="1"/>
  <c r="D19" a="1"/>
  <c r="G18" a="1"/>
  <c r="C18" a="1"/>
  <c r="F17" a="1"/>
  <c r="B17" a="1"/>
  <c r="E16" a="1"/>
  <c r="A16" a="1"/>
  <c r="D15" a="1"/>
  <c r="G14" a="1"/>
  <c r="C14" a="1"/>
  <c r="F13" a="1"/>
  <c r="B13" a="1"/>
  <c r="E12" a="1"/>
  <c r="A12" a="1"/>
  <c r="D11" a="1"/>
  <c r="G10" a="1"/>
  <c r="C10" a="1"/>
  <c r="F9" a="1"/>
  <c r="B9" a="1"/>
  <c r="E8" a="1"/>
  <c r="A8" a="1"/>
  <c r="D7" a="1"/>
  <c r="G6" a="1"/>
  <c r="C6" a="1"/>
  <c r="F5" a="1"/>
  <c r="B5" a="1"/>
  <c r="E4" a="1"/>
  <c r="A4" a="1"/>
  <c r="D3" a="1"/>
  <c r="G2" a="1"/>
  <c r="C2" a="1"/>
  <c r="F1" a="1"/>
  <c r="B1" a="1"/>
  <c r="C23" a="1"/>
  <c r="B22" a="1"/>
  <c r="A21" a="1"/>
  <c r="G19" a="1"/>
  <c r="C19" a="1"/>
  <c r="F18" a="1"/>
  <c r="B18" a="1"/>
  <c r="E17" a="1"/>
  <c r="A17" a="1"/>
  <c r="D16" a="1"/>
  <c r="G15" a="1"/>
  <c r="C15" a="1"/>
  <c r="F14" a="1"/>
  <c r="B14" a="1"/>
  <c r="E13" a="1"/>
  <c r="A13" a="1"/>
  <c r="D12" a="1"/>
  <c r="G11" a="1"/>
  <c r="C11" a="1"/>
  <c r="F10" a="1"/>
  <c r="B10" a="1"/>
  <c r="E9" a="1"/>
  <c r="A9" a="1"/>
  <c r="D8" a="1"/>
  <c r="G7" a="1"/>
  <c r="C7" a="1"/>
  <c r="F6" a="1"/>
  <c r="B6" a="1"/>
  <c r="E5" a="1"/>
  <c r="A5" a="1"/>
  <c r="D4" a="1"/>
  <c r="G3" a="1"/>
  <c r="C3" a="1"/>
  <c r="F2" a="1"/>
  <c r="B2" a="1"/>
  <c r="B2" l="1"/>
  <c r="F2"/>
  <c r="C3"/>
  <c r="G3"/>
  <c r="D4"/>
  <c r="A5"/>
  <c r="E5"/>
  <c r="B6"/>
  <c r="F6"/>
  <c r="C7"/>
  <c r="G7"/>
  <c r="D8"/>
  <c r="A9"/>
  <c r="E9"/>
  <c r="B10"/>
  <c r="F10"/>
  <c r="C11"/>
  <c r="G11"/>
  <c r="D12"/>
  <c r="A13"/>
  <c r="E13"/>
  <c r="B14"/>
  <c r="F14"/>
  <c r="C15"/>
  <c r="G15"/>
  <c r="D16"/>
  <c r="A17"/>
  <c r="E17"/>
  <c r="B18"/>
  <c r="F18"/>
  <c r="C19"/>
  <c r="G19"/>
  <c r="A21"/>
  <c r="B22"/>
  <c r="C23"/>
  <c r="B1"/>
  <c r="F1"/>
  <c r="C2"/>
  <c r="G2"/>
  <c r="D3"/>
  <c r="A4"/>
  <c r="E4"/>
  <c r="B5"/>
  <c r="F5"/>
  <c r="C6"/>
  <c r="G6"/>
  <c r="D7"/>
  <c r="A8"/>
  <c r="E8"/>
  <c r="B9"/>
  <c r="F9"/>
  <c r="C10"/>
  <c r="G10"/>
  <c r="D11"/>
  <c r="A12"/>
  <c r="E12"/>
  <c r="B13"/>
  <c r="F13"/>
  <c r="C14"/>
  <c r="G14"/>
  <c r="D15"/>
  <c r="A16"/>
  <c r="E16"/>
  <c r="B17"/>
  <c r="F17"/>
  <c r="C18"/>
  <c r="G18"/>
  <c r="D19"/>
  <c r="B20"/>
  <c r="C21"/>
  <c r="D22"/>
  <c r="E23"/>
  <c r="C1"/>
  <c r="D2"/>
  <c r="A3"/>
  <c r="E3"/>
  <c r="B4"/>
  <c r="F4"/>
  <c r="C5"/>
  <c r="G5"/>
  <c r="D6"/>
  <c r="A7"/>
  <c r="E7"/>
  <c r="B8"/>
  <c r="F8"/>
  <c r="C9"/>
  <c r="G9"/>
  <c r="D10"/>
  <c r="A11"/>
  <c r="E11"/>
  <c r="B12"/>
  <c r="F12"/>
  <c r="C13"/>
  <c r="G13"/>
  <c r="D14"/>
  <c r="A15"/>
  <c r="E15"/>
  <c r="B16"/>
  <c r="F16"/>
  <c r="C17"/>
  <c r="G17"/>
  <c r="D18"/>
  <c r="A19"/>
  <c r="E19"/>
  <c r="D20"/>
  <c r="E21"/>
  <c r="F22"/>
  <c r="G23"/>
  <c r="E1"/>
  <c r="G1"/>
  <c r="D1"/>
  <c r="A2"/>
  <c r="E2"/>
  <c r="B3"/>
  <c r="F3"/>
  <c r="C4"/>
  <c r="G4"/>
  <c r="D5"/>
  <c r="A6"/>
  <c r="E6"/>
  <c r="B7"/>
  <c r="F7"/>
  <c r="C8"/>
  <c r="G8"/>
  <c r="D9"/>
  <c r="A10"/>
  <c r="E10"/>
  <c r="B11"/>
  <c r="F11"/>
  <c r="C12"/>
  <c r="G12"/>
  <c r="D13"/>
  <c r="A14"/>
  <c r="E14"/>
  <c r="B15"/>
  <c r="F15"/>
  <c r="C16"/>
  <c r="G16"/>
  <c r="D17"/>
  <c r="A18"/>
  <c r="E18"/>
  <c r="B19"/>
  <c r="F19"/>
  <c r="F20"/>
  <c r="G21"/>
  <c r="A23"/>
  <c r="B24"/>
  <c r="D24"/>
  <c r="F24"/>
  <c r="A20"/>
  <c r="C20"/>
  <c r="E20"/>
  <c r="G20"/>
  <c r="B21"/>
  <c r="D21"/>
  <c r="F21"/>
  <c r="C22"/>
  <c r="E22"/>
  <c r="G22"/>
  <c r="B23"/>
  <c r="D23"/>
  <c r="F23"/>
  <c r="A24"/>
  <c r="C24"/>
  <c r="E24"/>
  <c r="G24"/>
  <c r="A2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<sst xmlns="http://schemas.openxmlformats.org/spreadsheetml/2006/main" count="74" uniqueCount="54">
  <si>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</si>
  <si>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</si>
  <si>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</si>
  <si>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</si>
  <si>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</si>
  <si>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</si>
  <si>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</si>
  <si>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</si>
  <si>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</si>
  <si>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</si>
  <si>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</si>
  <si>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</si>
  <si>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</si>
  <si>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</si>
  <si>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</si>
  <si>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</si>
  <si>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</si>
  <si>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</si>
  <si>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</si>
  <si>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</si>
  <si>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</si>
  <si>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</si>
  <si>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</si>
  <si>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</si>
  <si>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GOBIERNO DEL ESTADO DE MICHOACÁN DE OCAMPO</t>
  </si>
  <si>
    <t>Selección vacía</t>
  </si>
  <si>
    <t>19</t>
  </si>
  <si>
    <t>30/01/2020</t>
  </si>
  <si>
    <t>01-ENE..12-DIC</t>
  </si>
  <si>
    <t>Entidad CP</t>
  </si>
  <si>
    <t>Etiquetado</t>
  </si>
  <si>
    <t>Pos.presupuestaria</t>
  </si>
  <si>
    <t>GEMC</t>
  </si>
  <si>
    <t>1</t>
  </si>
  <si>
    <t>995</t>
  </si>
  <si>
    <t/>
  </si>
  <si>
    <t>996</t>
  </si>
  <si>
    <t>2</t>
  </si>
  <si>
    <t>Resultado total</t>
  </si>
  <si>
    <t xml:space="preserve">
Aprobado</t>
  </si>
  <si>
    <t xml:space="preserve">
Ampliaciones/Reducciones</t>
  </si>
  <si>
    <t xml:space="preserve">
Modificado</t>
  </si>
  <si>
    <t xml:space="preserve">
Devengado</t>
  </si>
  <si>
    <t xml:space="preserve">
Pagado</t>
  </si>
  <si>
    <t xml:space="preserve">
Subejercicio (e)</t>
  </si>
  <si>
    <t>cció</t>
  </si>
  <si>
    <t>Sel</t>
  </si>
  <si>
    <t>vac</t>
  </si>
  <si>
    <t>Diciembre</t>
  </si>
  <si>
    <t>01</t>
  </si>
  <si>
    <t>12</t>
  </si>
  <si>
    <t>Enero</t>
  </si>
  <si>
    <t>Periodo de Enero a Diciembre de 2019</t>
  </si>
  <si>
    <t>Elaborado el 30 de Enero del 2020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</si>
</sst>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;\-\ #,##0.00"/>
  </numFmts>
  <fonts count="3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28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6" applyNumberFormat="0" applyAlignment="0" applyProtection="0"/>
    <xf numFmtId="0" fontId="16" fillId="4" borderId="21" applyNumberFormat="0" applyAlignment="0" applyProtection="0"/>
    <xf numFmtId="0" fontId="8" fillId="4" borderId="16" applyNumberFormat="0" applyAlignment="0" applyProtection="0"/>
    <xf numFmtId="0" fontId="10" fillId="0" borderId="18" applyNumberFormat="0" applyFill="0" applyAlignment="0" applyProtection="0"/>
    <xf numFmtId="0" fontId="9" fillId="5" borderId="17" applyNumberFormat="0" applyAlignment="0" applyProtection="0"/>
    <xf numFmtId="0" fontId="25" fillId="0" borderId="0" applyNumberFormat="0" applyFill="0" applyBorder="0" applyAlignment="0" applyProtection="0"/>
    <xf numFmtId="0" fontId="6" fillId="8" borderId="20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7" applyNumberFormat="0" applyFill="0" applyAlignment="0" applyProtection="0"/>
    <xf numFmtId="4" fontId="17" fillId="9" borderId="22" applyNumberFormat="0" applyProtection="0">
      <alignment vertical="center"/>
    </xf>
    <xf numFmtId="4" fontId="18" fillId="9" borderId="22" applyNumberFormat="0" applyProtection="0">
      <alignment vertical="center"/>
    </xf>
    <xf numFmtId="4" fontId="17" fillId="9" borderId="22" applyNumberFormat="0" applyProtection="0">
      <alignment horizontal="left" vertical="center" indent="1"/>
    </xf>
    <xf numFmtId="0" fontId="17" fillId="9" borderId="22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2" applyNumberFormat="0" applyProtection="0">
      <alignment horizontal="right" vertical="center"/>
    </xf>
    <xf numFmtId="4" fontId="19" fillId="12" borderId="22" applyNumberFormat="0" applyProtection="0">
      <alignment horizontal="right" vertical="center"/>
    </xf>
    <xf numFmtId="4" fontId="19" fillId="13" borderId="22" applyNumberFormat="0" applyProtection="0">
      <alignment horizontal="right" vertical="center"/>
    </xf>
    <xf numFmtId="4" fontId="19" fillId="14" borderId="22" applyNumberFormat="0" applyProtection="0">
      <alignment horizontal="right" vertical="center"/>
    </xf>
    <xf numFmtId="4" fontId="19" fillId="15" borderId="22" applyNumberFormat="0" applyProtection="0">
      <alignment horizontal="right" vertical="center"/>
    </xf>
    <xf numFmtId="4" fontId="19" fillId="16" borderId="22" applyNumberFormat="0" applyProtection="0">
      <alignment horizontal="right" vertical="center"/>
    </xf>
    <xf numFmtId="4" fontId="19" fillId="17" borderId="22" applyNumberFormat="0" applyProtection="0">
      <alignment horizontal="right" vertical="center"/>
    </xf>
    <xf numFmtId="4" fontId="19" fillId="18" borderId="22" applyNumberFormat="0" applyProtection="0">
      <alignment horizontal="right" vertical="center"/>
    </xf>
    <xf numFmtId="4" fontId="19" fillId="19" borderId="22" applyNumberFormat="0" applyProtection="0">
      <alignment horizontal="right" vertical="center"/>
    </xf>
    <xf numFmtId="4" fontId="17" fillId="20" borderId="23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2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6" fillId="22" borderId="22" applyNumberFormat="0" applyProtection="0">
      <alignment horizontal="left" vertical="center" indent="1"/>
    </xf>
    <xf numFmtId="0" fontId="6" fillId="22" borderId="22" applyNumberFormat="0" applyProtection="0">
      <alignment horizontal="left" vertical="top" indent="1"/>
    </xf>
    <xf numFmtId="0" fontId="6" fillId="10" borderId="22" applyNumberFormat="0" applyProtection="0">
      <alignment horizontal="left" vertical="center" indent="1"/>
    </xf>
    <xf numFmtId="0" fontId="6" fillId="10" borderId="22" applyNumberFormat="0" applyProtection="0">
      <alignment horizontal="left" vertical="top" indent="1"/>
    </xf>
    <xf numFmtId="0" fontId="6" fillId="23" borderId="22" applyNumberFormat="0" applyProtection="0">
      <alignment horizontal="left" vertical="center" indent="1"/>
    </xf>
    <xf numFmtId="0" fontId="6" fillId="23" borderId="22" applyNumberFormat="0" applyProtection="0">
      <alignment horizontal="left" vertical="top" indent="1"/>
    </xf>
    <xf numFmtId="0" fontId="6" fillId="21" borderId="22" applyNumberFormat="0" applyProtection="0">
      <alignment horizontal="left" vertical="center" indent="1"/>
    </xf>
    <xf numFmtId="0" fontId="6" fillId="21" borderId="22" applyNumberFormat="0" applyProtection="0">
      <alignment horizontal="left" vertical="top" indent="1"/>
    </xf>
    <xf numFmtId="0" fontId="6" fillId="24" borderId="24" applyNumberFormat="0">
      <protection locked="0"/>
    </xf>
    <xf numFmtId="4" fontId="19" fillId="25" borderId="22" applyNumberFormat="0" applyProtection="0">
      <alignment vertical="center"/>
    </xf>
    <xf numFmtId="4" fontId="21" fillId="25" borderId="22" applyNumberFormat="0" applyProtection="0">
      <alignment vertical="center"/>
    </xf>
    <xf numFmtId="4" fontId="19" fillId="25" borderId="22" applyNumberFormat="0" applyProtection="0">
      <alignment horizontal="left" vertical="center" indent="1"/>
    </xf>
    <xf numFmtId="0" fontId="19" fillId="25" borderId="22" applyNumberFormat="0" applyProtection="0">
      <alignment horizontal="left" vertical="top" indent="1"/>
    </xf>
    <xf numFmtId="4" fontId="19" fillId="21" borderId="22" applyNumberFormat="0" applyProtection="0">
      <alignment horizontal="right" vertical="center"/>
    </xf>
    <xf numFmtId="4" fontId="21" fillId="21" borderId="22" applyNumberFormat="0" applyProtection="0">
      <alignment horizontal="right" vertical="center"/>
    </xf>
    <xf numFmtId="4" fontId="19" fillId="10" borderId="22" applyNumberFormat="0" applyProtection="0">
      <alignment horizontal="left" vertical="center" indent="1"/>
    </xf>
    <xf numFmtId="0" fontId="19" fillId="10" borderId="22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22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quotePrefix="1" applyAlignment="1"/>
    <xf numFmtId="0" fontId="4" fillId="0" borderId="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17" fillId="10" borderId="0" xfId="22" applyNumberFormat="1">
      <alignment horizontal="left" vertical="center" indent="1"/>
    </xf>
    <xf numFmtId="0" fontId="19" fillId="10" borderId="22" xfId="53" applyNumberFormat="1">
      <alignment horizontal="left" vertical="center" indent="1"/>
    </xf>
    <xf numFmtId="4" fontId="19" fillId="21" borderId="22" xfId="51" applyNumberFormat="1">
      <alignment horizontal="right" vertical="center"/>
    </xf>
    <xf numFmtId="165" fontId="19" fillId="21" borderId="22" xfId="51" applyNumberFormat="1">
      <alignment horizontal="right" vertical="center"/>
    </xf>
    <xf numFmtId="0" fontId="6" fillId="22" borderId="22" xfId="38" applyAlignment="1">
      <alignment horizontal="left" vertical="center" indent="2"/>
    </xf>
    <xf numFmtId="0" fontId="6" fillId="10" borderId="22" xfId="40" applyAlignment="1">
      <alignment horizontal="left" vertical="center" indent="3"/>
    </xf>
    <xf numFmtId="0" fontId="6" fillId="23" borderId="22" xfId="42" applyAlignment="1">
      <alignment horizontal="left" vertical="center" indent="4"/>
    </xf>
    <xf numFmtId="0" fontId="30" fillId="0" borderId="0" xfId="0" quotePrefix="1" applyFont="1" applyAlignment="1"/>
    <xf numFmtId="0" fontId="30" fillId="0" borderId="0" xfId="0" applyFont="1"/>
    <xf numFmtId="0" fontId="4" fillId="0" borderId="4" xfId="0" applyFont="1" applyBorder="1" applyAlignment="1">
      <alignment horizontal="left" vertical="center"/>
    </xf>
    <xf numFmtId="0" fontId="19" fillId="10" borderId="22" xfId="53" quotePrefix="1" applyNumberFormat="1">
      <alignment horizontal="left" vertical="center" indent="1"/>
    </xf>
    <xf numFmtId="0" fontId="17" fillId="9" borderId="22" xfId="20" quotePrefix="1" applyNumberFormat="1">
      <alignment horizontal="left" vertical="center" indent="1"/>
    </xf>
    <xf numFmtId="4" fontId="17" fillId="9" borderId="22" xfId="18" applyNumberFormat="1">
      <alignment vertical="center"/>
    </xf>
    <xf numFmtId="0" fontId="17" fillId="10" borderId="0" xfId="22" quotePrefix="1" applyNumberFormat="1" applyAlignment="1">
      <alignment horizontal="left" vertical="center" indent="1"/>
    </xf>
    <xf numFmtId="0" fontId="6" fillId="22" borderId="22" xfId="39" quotePrefix="1" applyAlignment="1">
      <alignment horizontal="left" vertical="top" wrapText="1" indent="1"/>
    </xf>
    <xf numFmtId="4" fontId="4" fillId="0" borderId="15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0" borderId="15" xfId="58" applyNumberFormat="1" applyFont="1" applyBorder="1" applyAlignment="1">
      <alignment horizontal="right" vertical="center" wrapText="1"/>
    </xf>
    <xf numFmtId="4" fontId="4" fillId="0" borderId="15" xfId="58" applyNumberFormat="1" applyFont="1" applyFill="1" applyBorder="1" applyAlignment="1">
      <alignment horizontal="right" vertical="center" wrapText="1"/>
    </xf>
    <xf numFmtId="4" fontId="5" fillId="0" borderId="15" xfId="58" applyNumberFormat="1" applyFont="1" applyBorder="1" applyAlignment="1">
      <alignment horizontal="right" vertical="center" wrapText="1"/>
    </xf>
  </cellXfs>
  <cellStyles count="59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3187700</xdr:colOff>
      <xdr:row>0</xdr:row>
      <xdr:rowOff>0</xdr:rowOff>
    </xdr:to>
    <xdr:pic macro="[1]!DesignIconClicked">
      <xdr:nvPicPr>
        <xdr:cNvPr id="3" name="BExKIN6PVBBZBBPEQHRTTEUH2RJ4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1206500</xdr:colOff>
      <xdr:row>0</xdr:row>
      <xdr:rowOff>0</xdr:rowOff>
    </xdr:to>
    <xdr:pic macro="[1]!DesignIconClicked">
      <xdr:nvPicPr>
        <xdr:cNvPr id="4" name="BEx9B78HB8WUJP8F5QJPTI4VOOBZ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</xdr:row>
      <xdr:rowOff>76200</xdr:rowOff>
    </xdr:from>
    <xdr:to>
      <xdr:col>0</xdr:col>
      <xdr:colOff>2880455</xdr:colOff>
      <xdr:row>5</xdr:row>
      <xdr:rowOff>554831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300" y="76200"/>
          <a:ext cx="2766155" cy="105965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4292600</xdr:colOff>
      <xdr:row>0</xdr:row>
      <xdr:rowOff>149225</xdr:rowOff>
    </xdr:to>
    <xdr:pic macro="[1]!DesignIconClicked">
      <xdr:nvPicPr>
        <xdr:cNvPr id="6" name="BExMG5BAX65W28MQRABL470W0MAL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2926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1206500</xdr:colOff>
      <xdr:row>0</xdr:row>
      <xdr:rowOff>149225</xdr:rowOff>
    </xdr:to>
    <xdr:pic macro="[1]!DesignIconClicked">
      <xdr:nvPicPr>
        <xdr:cNvPr id="10" name="BExMFHC8OH6P15SAN2C0IHUG1MH1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24500" y="0"/>
          <a:ext cx="1206500" cy="14922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749300</xdr:colOff>
      <xdr:row>0</xdr:row>
      <xdr:rowOff>149225</xdr:rowOff>
    </xdr:to>
    <xdr:pic macro="[1]!DesignIconClicked">
      <xdr:nvPicPr>
        <xdr:cNvPr id="2" name="BExCUWXX7JJEJN31XAOANCPK8ARY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144500" y="0"/>
          <a:ext cx="749300" cy="14922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149225</xdr:rowOff>
    </xdr:to>
    <xdr:pic macro="[1]!DesignIconClicked">
      <xdr:nvPicPr>
        <xdr:cNvPr id="7" name="BEx9HVAIJ4BSXQ4BPAAQOST7K1OL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906500" y="0"/>
          <a:ext cx="74930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161924</xdr:rowOff>
    </xdr:from>
    <xdr:to>
      <xdr:col>9</xdr:col>
      <xdr:colOff>911225</xdr:colOff>
      <xdr:row>7</xdr:row>
      <xdr:rowOff>149224</xdr:rowOff>
    </xdr:to>
    <xdr:pic macro="[1]!DesignIconClicked">
      <xdr:nvPicPr>
        <xdr:cNvPr id="2" name="BExGPNB3O9HWVG9G802SY7HV7Z0U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0550" y="323849"/>
          <a:ext cx="9331325" cy="9588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6350</xdr:rowOff>
    </xdr:from>
    <xdr:to>
      <xdr:col>1</xdr:col>
      <xdr:colOff>69850</xdr:colOff>
      <xdr:row>2</xdr:row>
      <xdr:rowOff>57150</xdr:rowOff>
    </xdr:to>
    <xdr:pic macro="[1]!DesignIconClicked">
      <xdr:nvPicPr>
        <xdr:cNvPr id="4" name="BEx3D6AXQ809BVT1GCM8I5C2PML5">
          <a:extLst>
            <a:ext uri="{FF2B5EF4-FFF2-40B4-BE49-F238E27FC236}">
              <a16:creationId xmlns:a16="http://schemas.microsoft.com/office/drawing/2014/main" xmlns="" id="{D1175594-2494-47BC-8044-FF26E282F6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9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82550</xdr:rowOff>
    </xdr:from>
    <xdr:to>
      <xdr:col>1</xdr:col>
      <xdr:colOff>69850</xdr:colOff>
      <xdr:row>2</xdr:row>
      <xdr:rowOff>133350</xdr:rowOff>
    </xdr:to>
    <xdr:pic macro="[1]!DesignIconClicked">
      <xdr:nvPicPr>
        <xdr:cNvPr id="6" name="BExVS97MA1PF2RYZFYL4J94S3JAH">
          <a:extLst>
            <a:ext uri="{FF2B5EF4-FFF2-40B4-BE49-F238E27FC236}">
              <a16:creationId xmlns:a16="http://schemas.microsoft.com/office/drawing/2014/main" xmlns="" id="{8FF1FB87-DF30-43C1-849A-0432E8AD3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9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6350</xdr:rowOff>
    </xdr:from>
    <xdr:to>
      <xdr:col>2</xdr:col>
      <xdr:colOff>79375</xdr:colOff>
      <xdr:row>2</xdr:row>
      <xdr:rowOff>57150</xdr:rowOff>
    </xdr:to>
    <xdr:pic macro="[1]!DesignIconClicked">
      <xdr:nvPicPr>
        <xdr:cNvPr id="8" name="BEx1IUIGJHAWDYSI5QJ8HRH0CVSY">
          <a:extLst>
            <a:ext uri="{FF2B5EF4-FFF2-40B4-BE49-F238E27FC236}">
              <a16:creationId xmlns:a16="http://schemas.microsoft.com/office/drawing/2014/main" xmlns="" id="{EFBCEF66-8C11-42E2-8860-8D21877723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14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2</xdr:row>
      <xdr:rowOff>82550</xdr:rowOff>
    </xdr:from>
    <xdr:to>
      <xdr:col>2</xdr:col>
      <xdr:colOff>79375</xdr:colOff>
      <xdr:row>2</xdr:row>
      <xdr:rowOff>133350</xdr:rowOff>
    </xdr:to>
    <xdr:pic macro="[1]!DesignIconClicked">
      <xdr:nvPicPr>
        <xdr:cNvPr id="10" name="BEx7KREF3JKTZJ48VTPT9SF958ST">
          <a:extLst>
            <a:ext uri="{FF2B5EF4-FFF2-40B4-BE49-F238E27FC236}">
              <a16:creationId xmlns:a16="http://schemas.microsoft.com/office/drawing/2014/main" xmlns="" id="{E1F5BFC2-AC9F-48D0-84E8-71343862BD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145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</xdr:row>
      <xdr:rowOff>6350</xdr:rowOff>
    </xdr:from>
    <xdr:to>
      <xdr:col>3</xdr:col>
      <xdr:colOff>76200</xdr:colOff>
      <xdr:row>2</xdr:row>
      <xdr:rowOff>57150</xdr:rowOff>
    </xdr:to>
    <xdr:pic macro="[1]!DesignIconClicked">
      <xdr:nvPicPr>
        <xdr:cNvPr id="12" name="BEx9DDR86WHU5WOCIF2N0OZXHBE8">
          <a:extLst>
            <a:ext uri="{FF2B5EF4-FFF2-40B4-BE49-F238E27FC236}">
              <a16:creationId xmlns:a16="http://schemas.microsoft.com/office/drawing/2014/main" xmlns="" id="{68D770B8-1557-43C2-ADA5-367F5B0DEF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40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2</xdr:row>
      <xdr:rowOff>82550</xdr:rowOff>
    </xdr:from>
    <xdr:to>
      <xdr:col>3</xdr:col>
      <xdr:colOff>76200</xdr:colOff>
      <xdr:row>2</xdr:row>
      <xdr:rowOff>133350</xdr:rowOff>
    </xdr:to>
    <xdr:pic macro="[1]!DesignIconClicked">
      <xdr:nvPicPr>
        <xdr:cNvPr id="14" name="BExMRENPFL2E9MR2TRUTZXKV41P5">
          <a:extLst>
            <a:ext uri="{FF2B5EF4-FFF2-40B4-BE49-F238E27FC236}">
              <a16:creationId xmlns:a16="http://schemas.microsoft.com/office/drawing/2014/main" xmlns="" id="{7193F2ED-D64D-4564-AE27-6818A811B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40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</xdr:row>
      <xdr:rowOff>6350</xdr:rowOff>
    </xdr:from>
    <xdr:to>
      <xdr:col>4</xdr:col>
      <xdr:colOff>69850</xdr:colOff>
      <xdr:row>2</xdr:row>
      <xdr:rowOff>57150</xdr:rowOff>
    </xdr:to>
    <xdr:pic macro="[1]!DesignIconClicked">
      <xdr:nvPicPr>
        <xdr:cNvPr id="16" name="BExB62YGDIDIJTC2OG2WAZE7P7C4">
          <a:extLst>
            <a:ext uri="{FF2B5EF4-FFF2-40B4-BE49-F238E27FC236}">
              <a16:creationId xmlns:a16="http://schemas.microsoft.com/office/drawing/2014/main" xmlns="" id="{62B02ABF-C055-478E-AC70-4076BB67A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862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2</xdr:row>
      <xdr:rowOff>82550</xdr:rowOff>
    </xdr:from>
    <xdr:to>
      <xdr:col>4</xdr:col>
      <xdr:colOff>69850</xdr:colOff>
      <xdr:row>2</xdr:row>
      <xdr:rowOff>133350</xdr:rowOff>
    </xdr:to>
    <xdr:pic macro="[1]!DesignIconClicked">
      <xdr:nvPicPr>
        <xdr:cNvPr id="18" name="BExEQE3GM07R4P9IHLZRNCQHH2MB">
          <a:extLst>
            <a:ext uri="{FF2B5EF4-FFF2-40B4-BE49-F238E27FC236}">
              <a16:creationId xmlns:a16="http://schemas.microsoft.com/office/drawing/2014/main" xmlns="" id="{18D3E5A7-F75F-4560-B948-AFE9D9967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862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</xdr:row>
      <xdr:rowOff>6350</xdr:rowOff>
    </xdr:from>
    <xdr:to>
      <xdr:col>5</xdr:col>
      <xdr:colOff>82550</xdr:colOff>
      <xdr:row>2</xdr:row>
      <xdr:rowOff>57150</xdr:rowOff>
    </xdr:to>
    <xdr:pic macro="[1]!DesignIconClicked">
      <xdr:nvPicPr>
        <xdr:cNvPr id="20" name="BExXNDX9YIK4DPTPR0QGFBHJUIN8">
          <a:extLst>
            <a:ext uri="{FF2B5EF4-FFF2-40B4-BE49-F238E27FC236}">
              <a16:creationId xmlns:a16="http://schemas.microsoft.com/office/drawing/2014/main" xmlns="" id="{C3419C90-EEA0-4575-BAE4-AE0C74664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27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2</xdr:row>
      <xdr:rowOff>82550</xdr:rowOff>
    </xdr:from>
    <xdr:to>
      <xdr:col>5</xdr:col>
      <xdr:colOff>82550</xdr:colOff>
      <xdr:row>2</xdr:row>
      <xdr:rowOff>133350</xdr:rowOff>
    </xdr:to>
    <xdr:pic macro="[1]!DesignIconClicked">
      <xdr:nvPicPr>
        <xdr:cNvPr id="22" name="BEx5JFK9Z9AIJ01C9JDSJYB4KGFB">
          <a:extLst>
            <a:ext uri="{FF2B5EF4-FFF2-40B4-BE49-F238E27FC236}">
              <a16:creationId xmlns:a16="http://schemas.microsoft.com/office/drawing/2014/main" xmlns="" id="{D0259232-6003-45C6-ABBF-4A12181727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27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6350</xdr:rowOff>
    </xdr:from>
    <xdr:to>
      <xdr:col>6</xdr:col>
      <xdr:colOff>69850</xdr:colOff>
      <xdr:row>2</xdr:row>
      <xdr:rowOff>57150</xdr:rowOff>
    </xdr:to>
    <xdr:pic macro="[1]!DesignIconClicked">
      <xdr:nvPicPr>
        <xdr:cNvPr id="24" name="BExGVHECIKOR1QUEFF1LVNE4ZKTU">
          <a:extLst>
            <a:ext uri="{FF2B5EF4-FFF2-40B4-BE49-F238E27FC236}">
              <a16:creationId xmlns:a16="http://schemas.microsoft.com/office/drawing/2014/main" xmlns="" id="{70EE1F8A-B01F-4B77-8310-2A98E569B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43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19050</xdr:colOff>
      <xdr:row>2</xdr:row>
      <xdr:rowOff>82550</xdr:rowOff>
    </xdr:from>
    <xdr:to>
      <xdr:col>6</xdr:col>
      <xdr:colOff>69850</xdr:colOff>
      <xdr:row>2</xdr:row>
      <xdr:rowOff>133350</xdr:rowOff>
    </xdr:to>
    <xdr:pic macro="[1]!DesignIconClicked">
      <xdr:nvPicPr>
        <xdr:cNvPr id="26" name="BExY673ELY51TDUEO3UBE9M26G05">
          <a:extLst>
            <a:ext uri="{FF2B5EF4-FFF2-40B4-BE49-F238E27FC236}">
              <a16:creationId xmlns:a16="http://schemas.microsoft.com/office/drawing/2014/main" xmlns="" id="{E2469E68-E8FB-4C55-A32A-DD1BBADB3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43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2</xdr:row>
      <xdr:rowOff>6350</xdr:rowOff>
    </xdr:from>
    <xdr:to>
      <xdr:col>7</xdr:col>
      <xdr:colOff>82550</xdr:colOff>
      <xdr:row>2</xdr:row>
      <xdr:rowOff>57150</xdr:rowOff>
    </xdr:to>
    <xdr:pic macro="[1]!DesignIconClicked">
      <xdr:nvPicPr>
        <xdr:cNvPr id="28" name="BEx7N9WUBL896BG2S8DX005VTX5C">
          <a:extLst>
            <a:ext uri="{FF2B5EF4-FFF2-40B4-BE49-F238E27FC236}">
              <a16:creationId xmlns:a16="http://schemas.microsoft.com/office/drawing/2014/main" xmlns="" id="{765D9E3A-A83F-47CB-9097-E558617E6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85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31750</xdr:colOff>
      <xdr:row>2</xdr:row>
      <xdr:rowOff>82550</xdr:rowOff>
    </xdr:from>
    <xdr:to>
      <xdr:col>7</xdr:col>
      <xdr:colOff>82550</xdr:colOff>
      <xdr:row>2</xdr:row>
      <xdr:rowOff>133350</xdr:rowOff>
    </xdr:to>
    <xdr:pic macro="[1]!DesignIconClicked">
      <xdr:nvPicPr>
        <xdr:cNvPr id="30" name="BExZNQP7PGSWLERHVJE3WLOMRD0O">
          <a:extLst>
            <a:ext uri="{FF2B5EF4-FFF2-40B4-BE49-F238E27FC236}">
              <a16:creationId xmlns:a16="http://schemas.microsoft.com/office/drawing/2014/main" xmlns="" id="{5E2C59E3-89C8-4B87-8DE4-466BF5D54F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85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</xdr:row>
      <xdr:rowOff>6350</xdr:rowOff>
    </xdr:from>
    <xdr:to>
      <xdr:col>8</xdr:col>
      <xdr:colOff>69850</xdr:colOff>
      <xdr:row>2</xdr:row>
      <xdr:rowOff>57150</xdr:rowOff>
    </xdr:to>
    <xdr:pic macro="[1]!DesignIconClicked">
      <xdr:nvPicPr>
        <xdr:cNvPr id="32" name="BExF58WOV03O3VASA95GN640HARF">
          <a:extLst>
            <a:ext uri="{FF2B5EF4-FFF2-40B4-BE49-F238E27FC236}">
              <a16:creationId xmlns:a16="http://schemas.microsoft.com/office/drawing/2014/main" xmlns="" id="{74F54C1D-41EF-4888-8BED-865BCCE46F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01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19050</xdr:colOff>
      <xdr:row>2</xdr:row>
      <xdr:rowOff>82550</xdr:rowOff>
    </xdr:from>
    <xdr:to>
      <xdr:col>8</xdr:col>
      <xdr:colOff>69850</xdr:colOff>
      <xdr:row>2</xdr:row>
      <xdr:rowOff>133350</xdr:rowOff>
    </xdr:to>
    <xdr:pic macro="[1]!DesignIconClicked">
      <xdr:nvPicPr>
        <xdr:cNvPr id="34" name="BExF1M8R758WOFZ5BT2DURYYDJZ8">
          <a:extLst>
            <a:ext uri="{FF2B5EF4-FFF2-40B4-BE49-F238E27FC236}">
              <a16:creationId xmlns:a16="http://schemas.microsoft.com/office/drawing/2014/main" xmlns="" id="{E6D704C5-6CFE-4645-898E-DEE183B87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01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2</xdr:row>
      <xdr:rowOff>6350</xdr:rowOff>
    </xdr:from>
    <xdr:to>
      <xdr:col>9</xdr:col>
      <xdr:colOff>82550</xdr:colOff>
      <xdr:row>2</xdr:row>
      <xdr:rowOff>57150</xdr:rowOff>
    </xdr:to>
    <xdr:pic macro="[1]!DesignIconClicked">
      <xdr:nvPicPr>
        <xdr:cNvPr id="36" name="BExEY1YWQXV8BRF0GEEL210KDUPH">
          <a:extLst>
            <a:ext uri="{FF2B5EF4-FFF2-40B4-BE49-F238E27FC236}">
              <a16:creationId xmlns:a16="http://schemas.microsoft.com/office/drawing/2014/main" xmlns="" id="{A54DAF82-52D3-4EF5-9914-E2554B1C8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424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2</xdr:row>
      <xdr:rowOff>82550</xdr:rowOff>
    </xdr:from>
    <xdr:to>
      <xdr:col>9</xdr:col>
      <xdr:colOff>82550</xdr:colOff>
      <xdr:row>2</xdr:row>
      <xdr:rowOff>133350</xdr:rowOff>
    </xdr:to>
    <xdr:pic macro="[1]!DesignIconClicked">
      <xdr:nvPicPr>
        <xdr:cNvPr id="38" name="BExD7BSO1L3Y3RGYQN4FNNCBY05I">
          <a:extLst>
            <a:ext uri="{FF2B5EF4-FFF2-40B4-BE49-F238E27FC236}">
              <a16:creationId xmlns:a16="http://schemas.microsoft.com/office/drawing/2014/main" xmlns="" id="{9EB23C5A-ACD3-41F6-AA93-F2E74503B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42400" y="4064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 macro="[1]!DesignIconClicked">
      <xdr:nvPicPr>
        <xdr:cNvPr id="3" name="BEx5N82PHKWE9JFL4KDG6QN7596V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2.75"/>
  <sheetData>
    <row r="1" spans="1:1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9"/>
  <sheetViews>
    <sheetView showGridLines="0" tabSelected="1" view="pageBreakPreview" zoomScale="60" zoomScaleNormal="100" workbookViewId="0">
      <selection activeCell="F34" sqref="F34"/>
    </sheetView>
  </sheetViews>
  <sheetFormatPr baseColWidth="10" defaultColWidth="11.42578125" defaultRowHeight="12.75"/>
  <cols>
    <col min="1" max="1" width="64.5703125" customWidth="1"/>
    <col min="2" max="7" width="18.28515625" customWidth="1"/>
  </cols>
  <sheetData>
    <row r="1" spans="1:15" s="22" customFormat="1">
      <c r="A1" s="21" t="s">
        <v>25</v>
      </c>
      <c r="B1" s="21"/>
      <c r="C1" s="21" t="s">
        <v>27</v>
      </c>
      <c r="D1" s="21" t="s">
        <v>45</v>
      </c>
      <c r="E1" s="22" t="s">
        <v>46</v>
      </c>
      <c r="F1" s="22" t="s">
        <v>47</v>
      </c>
      <c r="G1" s="22" t="s">
        <v>48</v>
      </c>
      <c r="H1" s="22" t="s">
        <v>48</v>
      </c>
      <c r="J1" s="21" t="s">
        <v>26</v>
      </c>
      <c r="K1" s="21" t="s">
        <v>28</v>
      </c>
      <c r="L1" s="22" t="s">
        <v>49</v>
      </c>
      <c r="M1" s="22" t="s">
        <v>50</v>
      </c>
      <c r="N1" s="22" t="s">
        <v>51</v>
      </c>
      <c r="O1" s="22" t="s">
        <v>48</v>
      </c>
    </row>
    <row r="2" spans="1:15" ht="13.5" thickBot="1">
      <c r="A2" s="1"/>
      <c r="B2" s="13"/>
      <c r="D2" s="1"/>
    </row>
    <row r="3" spans="1:15" ht="18">
      <c r="A3" s="32" t="s">
        <v>24</v>
      </c>
      <c r="B3" s="33"/>
      <c r="C3" s="33"/>
      <c r="D3" s="33"/>
      <c r="E3" s="33"/>
      <c r="F3" s="33"/>
      <c r="G3" s="34"/>
    </row>
    <row r="4" spans="1:15" ht="15">
      <c r="A4" s="35" t="s">
        <v>0</v>
      </c>
      <c r="B4" s="36"/>
      <c r="C4" s="36"/>
      <c r="D4" s="36"/>
      <c r="E4" s="36"/>
      <c r="F4" s="36"/>
      <c r="G4" s="37"/>
    </row>
    <row r="5" spans="1:15">
      <c r="A5" s="38" t="s">
        <v>1</v>
      </c>
      <c r="B5" s="39"/>
      <c r="C5" s="39"/>
      <c r="D5" s="39"/>
      <c r="E5" s="39"/>
      <c r="F5" s="39"/>
      <c r="G5" s="40"/>
    </row>
    <row r="6" spans="1:15" ht="46.5" customHeight="1" thickBot="1">
      <c r="A6" s="41" t="s">
        <v>52</v>
      </c>
      <c r="B6" s="42"/>
      <c r="C6" s="42"/>
      <c r="D6" s="42"/>
      <c r="E6" s="42"/>
      <c r="F6" s="42"/>
      <c r="G6" s="43"/>
    </row>
    <row r="7" spans="1:15">
      <c r="A7" s="54" t="s">
        <v>53</v>
      </c>
      <c r="B7" s="55"/>
      <c r="C7" s="55"/>
      <c r="D7" s="55"/>
      <c r="E7" s="55"/>
      <c r="F7" s="55"/>
      <c r="G7" s="56"/>
    </row>
    <row r="8" spans="1:15" ht="13.5" thickBot="1">
      <c r="A8" s="44" t="s">
        <v>2</v>
      </c>
      <c r="B8" s="45"/>
      <c r="C8" s="45"/>
      <c r="D8" s="45"/>
      <c r="E8" s="45"/>
      <c r="F8" s="45"/>
      <c r="G8" s="46"/>
    </row>
    <row r="9" spans="1:15" ht="13.5" thickBot="1">
      <c r="A9" s="47" t="s">
        <v>3</v>
      </c>
      <c r="B9" s="49" t="s">
        <v>4</v>
      </c>
      <c r="C9" s="50"/>
      <c r="D9" s="50"/>
      <c r="E9" s="50"/>
      <c r="F9" s="51"/>
      <c r="G9" s="52" t="s">
        <v>5</v>
      </c>
      <c r="H9" s="31"/>
      <c r="I9" s="31"/>
    </row>
    <row r="10" spans="1:15" ht="24.75" thickBot="1">
      <c r="A10" s="48"/>
      <c r="B10" s="11" t="s">
        <v>6</v>
      </c>
      <c r="C10" s="12" t="s">
        <v>7</v>
      </c>
      <c r="D10" s="12" t="s">
        <v>8</v>
      </c>
      <c r="E10" s="12" t="s">
        <v>9</v>
      </c>
      <c r="F10" s="12" t="s">
        <v>10</v>
      </c>
      <c r="G10" s="53"/>
      <c r="H10" s="31"/>
      <c r="I10" s="31"/>
    </row>
    <row r="11" spans="1:15">
      <c r="A11" s="2" t="s">
        <v>11</v>
      </c>
      <c r="B11" s="3">
        <f>B12+B13+B14+B17+B18+B21</f>
        <v>9144679423</v>
      </c>
      <c r="C11" s="3">
        <f t="shared" ref="C11:G11" si="0">C12+C13+C14+C17+C18+C21</f>
        <v>393874353.75</v>
      </c>
      <c r="D11" s="3">
        <f t="shared" si="0"/>
        <v>9538553776.75</v>
      </c>
      <c r="E11" s="3">
        <f t="shared" si="0"/>
        <v>9507802973.25</v>
      </c>
      <c r="F11" s="3">
        <f t="shared" si="0"/>
        <v>8147609389.5900002</v>
      </c>
      <c r="G11" s="3">
        <f t="shared" si="0"/>
        <v>30750803.5</v>
      </c>
      <c r="H11" s="31"/>
      <c r="I11" s="31"/>
    </row>
    <row r="12" spans="1:15">
      <c r="A12" s="2" t="s">
        <v>12</v>
      </c>
      <c r="B12" s="3">
        <v>3779099475</v>
      </c>
      <c r="C12" s="3">
        <v>-675960329.80999994</v>
      </c>
      <c r="D12" s="3">
        <v>3103139145.1900001</v>
      </c>
      <c r="E12" s="3">
        <v>3072388341.6900001</v>
      </c>
      <c r="F12" s="3">
        <v>2438030375.4200001</v>
      </c>
      <c r="G12" s="29">
        <v>30750803.5</v>
      </c>
      <c r="H12" s="31"/>
      <c r="I12" s="31"/>
    </row>
    <row r="13" spans="1:15">
      <c r="A13" s="2" t="s">
        <v>13</v>
      </c>
      <c r="B13" s="3">
        <v>2983558467</v>
      </c>
      <c r="C13" s="3">
        <v>1442979283.1199999</v>
      </c>
      <c r="D13" s="3">
        <v>4426537750.1199999</v>
      </c>
      <c r="E13" s="3">
        <v>4426537750.1199999</v>
      </c>
      <c r="F13" s="3">
        <v>4123208267.77</v>
      </c>
      <c r="G13" s="3">
        <v>0</v>
      </c>
      <c r="H13" s="31"/>
      <c r="I13" s="31"/>
    </row>
    <row r="14" spans="1:15">
      <c r="A14" s="2" t="s">
        <v>14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15">
      <c r="A15" s="4" t="s">
        <v>15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15">
      <c r="A16" s="4" t="s">
        <v>16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>
      <c r="A17" s="2" t="s">
        <v>17</v>
      </c>
      <c r="B17" s="3">
        <v>2335021481</v>
      </c>
      <c r="C17" s="3">
        <v>-498896930.08999997</v>
      </c>
      <c r="D17" s="3">
        <v>1836124550.9100001</v>
      </c>
      <c r="E17" s="3">
        <v>1836124550.9100001</v>
      </c>
      <c r="F17" s="3">
        <v>1533809160.0699999</v>
      </c>
      <c r="G17" s="3">
        <v>0</v>
      </c>
    </row>
    <row r="18" spans="1:7">
      <c r="A18" s="23" t="s">
        <v>18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</row>
    <row r="19" spans="1:7">
      <c r="A19" s="6" t="s">
        <v>19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>
      <c r="A20" s="6" t="s">
        <v>20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>
      <c r="A21" s="2" t="s">
        <v>21</v>
      </c>
      <c r="B21" s="3">
        <v>47000000</v>
      </c>
      <c r="C21" s="3">
        <v>125752330.53</v>
      </c>
      <c r="D21" s="3">
        <v>172752330.53</v>
      </c>
      <c r="E21" s="3">
        <v>172752330.53</v>
      </c>
      <c r="F21" s="3">
        <v>52561586.329999998</v>
      </c>
      <c r="G21" s="3">
        <v>0</v>
      </c>
    </row>
    <row r="22" spans="1:7">
      <c r="A22" s="4"/>
      <c r="B22" s="3"/>
      <c r="C22" s="3"/>
      <c r="D22" s="7"/>
      <c r="E22" s="3"/>
      <c r="F22" s="3"/>
      <c r="G22" s="7"/>
    </row>
    <row r="23" spans="1:7">
      <c r="A23" s="2" t="s">
        <v>22</v>
      </c>
      <c r="B23" s="3">
        <f>B24+B25+B26+B29+B30+B33</f>
        <v>16935963601</v>
      </c>
      <c r="C23" s="3">
        <f t="shared" ref="C23:G23" si="1">C24+C25+C26+C29+C30+C33</f>
        <v>3269558143.2199998</v>
      </c>
      <c r="D23" s="3">
        <f t="shared" si="1"/>
        <v>20205521744.220001</v>
      </c>
      <c r="E23" s="3">
        <f t="shared" si="1"/>
        <v>20198640813.389999</v>
      </c>
      <c r="F23" s="3">
        <f t="shared" si="1"/>
        <v>20041845360.919998</v>
      </c>
      <c r="G23" s="3">
        <f t="shared" si="1"/>
        <v>6880930.8300018311</v>
      </c>
    </row>
    <row r="24" spans="1:7">
      <c r="A24" s="2" t="s">
        <v>12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>
      <c r="A25" s="2" t="s">
        <v>13</v>
      </c>
      <c r="B25" s="3">
        <v>16935963601</v>
      </c>
      <c r="C25" s="3">
        <v>3269558143.2199998</v>
      </c>
      <c r="D25" s="3">
        <v>20205521744.220001</v>
      </c>
      <c r="E25" s="3">
        <v>20198640813.389999</v>
      </c>
      <c r="F25" s="3">
        <v>20041845360.919998</v>
      </c>
      <c r="G25" s="29">
        <v>6880930.8300018311</v>
      </c>
    </row>
    <row r="26" spans="1:7">
      <c r="A26" s="2" t="s">
        <v>14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8">
        <v>0</v>
      </c>
    </row>
    <row r="27" spans="1:7">
      <c r="A27" s="4" t="s">
        <v>15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">
        <v>0</v>
      </c>
    </row>
    <row r="28" spans="1:7">
      <c r="A28" s="4" t="s">
        <v>16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">
        <v>0</v>
      </c>
    </row>
    <row r="29" spans="1:7">
      <c r="A29" s="2" t="s">
        <v>17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</row>
    <row r="30" spans="1:7">
      <c r="A30" s="23" t="s">
        <v>18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</row>
    <row r="31" spans="1:7">
      <c r="A31" s="6" t="s">
        <v>19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>
      <c r="A32" s="6" t="s">
        <v>20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>
      <c r="A33" s="2" t="s">
        <v>21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</row>
    <row r="34" spans="1:7">
      <c r="A34" s="2" t="s">
        <v>23</v>
      </c>
      <c r="B34" s="3">
        <f>B11+B23</f>
        <v>26080643024</v>
      </c>
      <c r="C34" s="3">
        <f t="shared" ref="C34:G34" si="2">C11+C23</f>
        <v>3663432496.9699998</v>
      </c>
      <c r="D34" s="3">
        <f t="shared" si="2"/>
        <v>29744075520.970001</v>
      </c>
      <c r="E34" s="3">
        <f t="shared" si="2"/>
        <v>29706443786.639999</v>
      </c>
      <c r="F34" s="3">
        <f t="shared" si="2"/>
        <v>28189454750.509998</v>
      </c>
      <c r="G34" s="3">
        <f t="shared" si="2"/>
        <v>37631734.330001831</v>
      </c>
    </row>
    <row r="35" spans="1:7" ht="13.5" thickBot="1">
      <c r="A35" s="8"/>
      <c r="B35" s="9"/>
      <c r="C35" s="10"/>
      <c r="D35" s="10"/>
      <c r="E35" s="10"/>
      <c r="F35" s="10"/>
      <c r="G35" s="10"/>
    </row>
    <row r="37" spans="1:7">
      <c r="A37" s="30"/>
      <c r="B37" s="30"/>
      <c r="C37" s="30"/>
      <c r="D37" s="30"/>
      <c r="E37" s="30"/>
      <c r="F37" s="30"/>
      <c r="G37" s="30"/>
    </row>
    <row r="38" spans="1:7">
      <c r="A38" s="30"/>
      <c r="B38" s="30"/>
      <c r="C38" s="30"/>
      <c r="D38" s="30"/>
      <c r="E38" s="30"/>
      <c r="F38" s="30"/>
      <c r="G38" s="30"/>
    </row>
    <row r="39" spans="1:7">
      <c r="A39" s="30"/>
      <c r="B39" s="30"/>
      <c r="C39" s="30"/>
      <c r="D39" s="30"/>
      <c r="E39" s="30"/>
      <c r="F39" s="30"/>
      <c r="G39" s="30"/>
    </row>
  </sheetData>
  <mergeCells count="11">
    <mergeCell ref="A37:G39"/>
    <mergeCell ref="H9:I13"/>
    <mergeCell ref="A3:G3"/>
    <mergeCell ref="A4:G4"/>
    <mergeCell ref="A5:G5"/>
    <mergeCell ref="A6:G6"/>
    <mergeCell ref="A8:G8"/>
    <mergeCell ref="A9:A10"/>
    <mergeCell ref="B9:F9"/>
    <mergeCell ref="G9:G10"/>
    <mergeCell ref="A7:G7"/>
  </mergeCells>
  <pageMargins left="0.43307086614173229" right="0.31496062992125984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J8"/>
  <sheetViews>
    <sheetView workbookViewId="0">
      <selection activeCell="D5" sqref="D5"/>
    </sheetView>
  </sheetViews>
  <sheetFormatPr baseColWidth="10" defaultColWidth="8.85546875" defaultRowHeight="12.75"/>
  <cols>
    <col min="2" max="2" width="16.42578125" bestFit="1" customWidth="1"/>
    <col min="3" max="3" width="12.42578125" bestFit="1" customWidth="1"/>
    <col min="4" max="4" width="20.28515625" bestFit="1" customWidth="1"/>
    <col min="5" max="9" width="15.42578125" bestFit="1" customWidth="1"/>
    <col min="10" max="10" width="13.85546875" bestFit="1" customWidth="1"/>
  </cols>
  <sheetData>
    <row r="3" spans="2:10" ht="38.25">
      <c r="B3" s="27" t="s">
        <v>29</v>
      </c>
      <c r="C3" s="27" t="s">
        <v>30</v>
      </c>
      <c r="D3" s="27" t="s">
        <v>31</v>
      </c>
      <c r="E3" s="28" t="s">
        <v>39</v>
      </c>
      <c r="F3" s="28" t="s">
        <v>40</v>
      </c>
      <c r="G3" s="28" t="s">
        <v>41</v>
      </c>
      <c r="H3" s="28" t="s">
        <v>42</v>
      </c>
      <c r="I3" s="28" t="s">
        <v>43</v>
      </c>
      <c r="J3" s="28" t="s">
        <v>44</v>
      </c>
    </row>
    <row r="4" spans="2:10">
      <c r="B4" s="24" t="s">
        <v>32</v>
      </c>
      <c r="C4" s="24" t="s">
        <v>33</v>
      </c>
      <c r="D4" s="24" t="s">
        <v>34</v>
      </c>
      <c r="E4" s="16">
        <v>41897450</v>
      </c>
      <c r="F4" s="16">
        <v>264650467.16</v>
      </c>
      <c r="G4" s="16">
        <v>306547917.16000003</v>
      </c>
      <c r="H4" s="16">
        <v>306547917.16000003</v>
      </c>
      <c r="I4" s="16">
        <v>287626975.64999998</v>
      </c>
      <c r="J4" s="17">
        <v>0</v>
      </c>
    </row>
    <row r="5" spans="2:10">
      <c r="B5" s="24" t="s">
        <v>35</v>
      </c>
      <c r="C5" s="24" t="s">
        <v>35</v>
      </c>
      <c r="D5" s="24" t="s">
        <v>36</v>
      </c>
      <c r="E5" s="16">
        <v>257370050</v>
      </c>
      <c r="F5" s="16">
        <v>1451630123.99</v>
      </c>
      <c r="G5" s="16">
        <v>1709000173.99</v>
      </c>
      <c r="H5" s="16">
        <v>1702568714.24</v>
      </c>
      <c r="I5" s="16">
        <v>1577658210.1600001</v>
      </c>
      <c r="J5" s="16">
        <v>6431459.75</v>
      </c>
    </row>
    <row r="6" spans="2:10">
      <c r="B6" s="24" t="s">
        <v>35</v>
      </c>
      <c r="C6" s="24" t="s">
        <v>37</v>
      </c>
      <c r="D6" s="24" t="s">
        <v>34</v>
      </c>
      <c r="E6" s="16">
        <v>878864171.07000005</v>
      </c>
      <c r="F6" s="16">
        <v>-193630789.30000001</v>
      </c>
      <c r="G6" s="16">
        <v>685233381.76999998</v>
      </c>
      <c r="H6" s="16">
        <v>685233381.76999998</v>
      </c>
      <c r="I6" s="16">
        <v>657998022.63999999</v>
      </c>
      <c r="J6" s="17">
        <v>0</v>
      </c>
    </row>
    <row r="7" spans="2:10">
      <c r="B7" s="24" t="s">
        <v>35</v>
      </c>
      <c r="C7" s="24" t="s">
        <v>35</v>
      </c>
      <c r="D7" s="24" t="s">
        <v>36</v>
      </c>
      <c r="E7" s="16">
        <v>2054630571.9300001</v>
      </c>
      <c r="F7" s="16">
        <v>208644573.69</v>
      </c>
      <c r="G7" s="16">
        <v>2263275145.6199999</v>
      </c>
      <c r="H7" s="16">
        <v>2263275145.6199999</v>
      </c>
      <c r="I7" s="16">
        <v>2173318770.1399999</v>
      </c>
      <c r="J7" s="17">
        <v>0</v>
      </c>
    </row>
    <row r="8" spans="2:10">
      <c r="B8" s="25" t="s">
        <v>38</v>
      </c>
      <c r="C8" s="25" t="s">
        <v>35</v>
      </c>
      <c r="D8" s="25" t="s">
        <v>35</v>
      </c>
      <c r="E8" s="26">
        <v>3232762243</v>
      </c>
      <c r="F8" s="26">
        <v>1731294375.54</v>
      </c>
      <c r="G8" s="26">
        <v>4964056618.54</v>
      </c>
      <c r="H8" s="26">
        <v>4957625158.79</v>
      </c>
      <c r="I8" s="26">
        <v>4696601978.5900002</v>
      </c>
      <c r="J8" s="26">
        <v>6431459.75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zoomScale="80" zoomScaleNormal="80" workbookViewId="0">
      <selection activeCell="A11" sqref="A11"/>
    </sheetView>
  </sheetViews>
  <sheetFormatPr baseColWidth="10" defaultColWidth="11.42578125" defaultRowHeight="12.75"/>
  <cols>
    <col min="1" max="1" width="61.7109375" bestFit="1" customWidth="1"/>
    <col min="2" max="2" width="19.7109375" bestFit="1" customWidth="1"/>
    <col min="3" max="3" width="28.5703125" bestFit="1" customWidth="1"/>
    <col min="4" max="4" width="19.7109375" bestFit="1" customWidth="1"/>
    <col min="5" max="6" width="17.42578125" bestFit="1" customWidth="1"/>
    <col min="7" max="7" width="19.7109375" bestFit="1" customWidth="1"/>
  </cols>
  <sheetData>
    <row r="1" spans="1:7">
      <c r="A1" s="14"/>
      <c r="B1" s="15" t="str" cm="1">
        <f t="array" ref="B1">[1]!BexGetCellData("00O2TQ2O5Z7DPSFCWMDG4H3QW","","DP_1")</f>
        <v>Aprobado</v>
      </c>
      <c r="C1" s="15" t="str" cm="1">
        <f t="array" ref="C1">[1]!BexGetCellData("00O2TQ2O5Z7DPSFCWMDG4HA2G","","DP_1")</f>
        <v>Ampliaciones y Reducciones</v>
      </c>
      <c r="D1" s="15" t="str" cm="1">
        <f t="array" ref="D1">[1]!BexGetCellData("00O2TQ2O5Z7DPSFCWMDG4HGE0","","DP_1")</f>
        <v>Modificado Por Periodo Presupuestal</v>
      </c>
      <c r="E1" s="15" t="str" cm="1">
        <f t="array" ref="E1">[1]!BexGetCellData("00O2TQ2O5Z7DPSFCWMDG4HMPK","","DP_1")</f>
        <v>Devengado</v>
      </c>
      <c r="F1" s="15" t="str" cm="1">
        <f t="array" ref="F1">[1]!BexGetCellData("00O2TQ2O5Z7DPSFCWMDG4HT14","","DP_1")</f>
        <v>Pagado</v>
      </c>
      <c r="G1" s="15" t="str" cm="1">
        <f t="array" ref="G1">[1]!BexGetCellData("00O2TQ2O5Z7DPSFCWMDG4HZCO","","DP_1")</f>
        <v>SubEjercido</v>
      </c>
    </row>
    <row r="2" spans="1:7">
      <c r="A2" s="18" t="str" cm="1">
        <f t="array" ref="A2">[1]!BexGetCellData("","00O2TQ2O5Z7DPSFHJ8Z5KTK6N","DP_1")</f>
        <v>I. Gasto No Etiquetado (I=A+B+C+D+E+F)</v>
      </c>
      <c r="B2" s="16" cm="1">
        <f t="array" ref="B2">[1]!BexGetCellData("00O2TQ2O5Z7DPSFCWMDG4H3QW","00O2TQ2O5Z7DPSFHJ8Z5KTK6N","DP_1")</f>
        <v>9144679423</v>
      </c>
      <c r="C2" s="16" cm="1">
        <f t="array" ref="C2">[1]!BexGetCellData("00O2TQ2O5Z7DPSFCWMDG4HA2G","00O2TQ2O5Z7DPSFHJ8Z5KTK6N","DP_1")</f>
        <v>393874353.75</v>
      </c>
      <c r="D2" s="16" cm="1">
        <f t="array" ref="D2">[1]!BexGetCellData("00O2TQ2O5Z7DPSFCWMDG4HGE0","00O2TQ2O5Z7DPSFHJ8Z5KTK6N","DP_1")</f>
        <v>9538553776.75</v>
      </c>
      <c r="E2" s="16" cm="1">
        <f t="array" ref="E2">[1]!BexGetCellData("00O2TQ2O5Z7DPSFCWMDG4HMPK","00O2TQ2O5Z7DPSFHJ8Z5KTK6N","DP_1")</f>
        <v>9507802973.25</v>
      </c>
      <c r="F2" s="16" cm="1">
        <f t="array" ref="F2">[1]!BexGetCellData("00O2TQ2O5Z7DPSFCWMDG4HT14","00O2TQ2O5Z7DPSFHJ8Z5KTK6N","DP_1")</f>
        <v>8147609389.5900002</v>
      </c>
      <c r="G2" s="16" cm="1">
        <f t="array" ref="G2">[1]!BexGetCellData("00O2TQ2O5Z7DPSFCWMDG4HZCO","00O2TQ2O5Z7DPSFHJ8Z5KTK6N","DP_1")</f>
        <v>30750803.5</v>
      </c>
    </row>
    <row r="3" spans="1:7">
      <c r="A3" s="19" t="str" cm="1">
        <f t="array" ref="A3">[1]!BexGetCellData("","00O2TQ2O5Z7DPSFHJ8Z5KTQI7","DP_1")</f>
        <v>A. Personal Administrativo y de Servicio Público</v>
      </c>
      <c r="B3" s="16" cm="1">
        <f t="array" ref="B3">[1]!BexGetCellData("00O2TQ2O5Z7DPSFCWMDG4H3QW","00O2TQ2O5Z7DPSFHJ8Z5KTQI7","DP_1")</f>
        <v>3779099475</v>
      </c>
      <c r="C3" s="16" cm="1">
        <f t="array" ref="C3">[1]!BexGetCellData("00O2TQ2O5Z7DPSFCWMDG4HA2G","00O2TQ2O5Z7DPSFHJ8Z5KTQI7","DP_1")</f>
        <v>-675960329.80999994</v>
      </c>
      <c r="D3" s="16" cm="1">
        <f t="array" ref="D3">[1]!BexGetCellData("00O2TQ2O5Z7DPSFCWMDG4HGE0","00O2TQ2O5Z7DPSFHJ8Z5KTQI7","DP_1")</f>
        <v>3103139145.1900001</v>
      </c>
      <c r="E3" s="16" cm="1">
        <f t="array" ref="E3">[1]!BexGetCellData("00O2TQ2O5Z7DPSFCWMDG4HMPK","00O2TQ2O5Z7DPSFHJ8Z5KTQI7","DP_1")</f>
        <v>3072388341.6900001</v>
      </c>
      <c r="F3" s="16" cm="1">
        <f t="array" ref="F3">[1]!BexGetCellData("00O2TQ2O5Z7DPSFCWMDG4HT14","00O2TQ2O5Z7DPSFHJ8Z5KTQI7","DP_1")</f>
        <v>2438030375.4200001</v>
      </c>
      <c r="G3" s="16" cm="1">
        <f t="array" ref="G3">[1]!BexGetCellData("00O2TQ2O5Z7DPSFCWMDG4HZCO","00O2TQ2O5Z7DPSFHJ8Z5KTQI7","DP_1")</f>
        <v>30750803.5</v>
      </c>
    </row>
    <row r="4" spans="1:7">
      <c r="A4" s="19" t="str" cm="1">
        <f t="array" ref="A4">[1]!BexGetCellData("","00O2TQ2O5Z7DPSFHJ8Z5KTWTR","DP_1")</f>
        <v>B. Magisterio</v>
      </c>
      <c r="B4" s="16" cm="1">
        <f t="array" ref="B4">[1]!BexGetCellData("00O2TQ2O5Z7DPSFCWMDG4H3QW","00O2TQ2O5Z7DPSFHJ8Z5KTWTR","DP_1")</f>
        <v>2983558467</v>
      </c>
      <c r="C4" s="16" cm="1">
        <f t="array" ref="C4">[1]!BexGetCellData("00O2TQ2O5Z7DPSFCWMDG4HA2G","00O2TQ2O5Z7DPSFHJ8Z5KTWTR","DP_1")</f>
        <v>1442979283.1199999</v>
      </c>
      <c r="D4" s="16" cm="1">
        <f t="array" ref="D4">[1]!BexGetCellData("00O2TQ2O5Z7DPSFCWMDG4HGE0","00O2TQ2O5Z7DPSFHJ8Z5KTWTR","DP_1")</f>
        <v>4426537750.1199999</v>
      </c>
      <c r="E4" s="16" cm="1">
        <f t="array" ref="E4">[1]!BexGetCellData("00O2TQ2O5Z7DPSFCWMDG4HMPK","00O2TQ2O5Z7DPSFHJ8Z5KTWTR","DP_1")</f>
        <v>4426537750.1199999</v>
      </c>
      <c r="F4" s="16" cm="1">
        <f t="array" ref="F4">[1]!BexGetCellData("00O2TQ2O5Z7DPSFCWMDG4HT14","00O2TQ2O5Z7DPSFHJ8Z5KTWTR","DP_1")</f>
        <v>4123208267.77</v>
      </c>
      <c r="G4" s="17" cm="1">
        <f t="array" ref="G4">[1]!BexGetCellData("00O2TQ2O5Z7DPSFCWMDG4HZCO","00O2TQ2O5Z7DPSFHJ8Z5KTWTR","DP_1")</f>
        <v>0</v>
      </c>
    </row>
    <row r="5" spans="1:7">
      <c r="A5" s="19" t="str" cm="1">
        <f t="array" ref="A5">[1]!BexGetCellData("","00O2TQ2O5Z7DTSZZVLQJDQFIN","DP_1")</f>
        <v>C. Servicios de Salud (C=c1+c2)</v>
      </c>
      <c r="B5" s="17" cm="1">
        <f t="array" ref="B5">[1]!BexGetCellData("00O2TQ2O5Z7DPSFCWMDG4H3QW","00O2TQ2O5Z7DTSZZVLQJDQFIN","DP_1")</f>
        <v>0</v>
      </c>
      <c r="C5" s="17" cm="1">
        <f t="array" ref="C5">[1]!BexGetCellData("00O2TQ2O5Z7DPSFCWMDG4HA2G","00O2TQ2O5Z7DTSZZVLQJDQFIN","DP_1")</f>
        <v>0</v>
      </c>
      <c r="D5" s="17" cm="1">
        <f t="array" ref="D5">[1]!BexGetCellData("00O2TQ2O5Z7DPSFCWMDG4HGE0","00O2TQ2O5Z7DTSZZVLQJDQFIN","DP_1")</f>
        <v>0</v>
      </c>
      <c r="E5" s="17" cm="1">
        <f t="array" ref="E5">[1]!BexGetCellData("00O2TQ2O5Z7DPSFCWMDG4HMPK","00O2TQ2O5Z7DTSZZVLQJDQFIN","DP_1")</f>
        <v>0</v>
      </c>
      <c r="F5" s="17" cm="1">
        <f t="array" ref="F5">[1]!BexGetCellData("00O2TQ2O5Z7DPSFCWMDG4HT14","00O2TQ2O5Z7DTSZZVLQJDQFIN","DP_1")</f>
        <v>0</v>
      </c>
      <c r="G5" s="17" cm="1">
        <f t="array" ref="G5">[1]!BexGetCellData("00O2TQ2O5Z7DPSFCWMDG4HZCO","00O2TQ2O5Z7DTSZZVLQJDQFIN","DP_1")</f>
        <v>0</v>
      </c>
    </row>
    <row r="6" spans="1:7">
      <c r="A6" s="20" t="str" cm="1">
        <f t="array" ref="A6">[1]!BexGetCellData("","00O2TQ2O5Z7DTSZZZA3RCSZDJ","DP_1")</f>
        <v>c1) Personal Administrativo</v>
      </c>
      <c r="B6" s="17" cm="1">
        <f t="array" ref="B6">[1]!BexGetCellData("00O2TQ2O5Z7DPSFCWMDG4H3QW","00O2TQ2O5Z7DTSZZZA3RCSZDJ","DP_1")</f>
        <v>0</v>
      </c>
      <c r="C6" s="17" cm="1">
        <f t="array" ref="C6">[1]!BexGetCellData("00O2TQ2O5Z7DPSFCWMDG4HA2G","00O2TQ2O5Z7DTSZZZA3RCSZDJ","DP_1")</f>
        <v>0</v>
      </c>
      <c r="D6" s="17" cm="1">
        <f t="array" ref="D6">[1]!BexGetCellData("00O2TQ2O5Z7DPSFCWMDG4HGE0","00O2TQ2O5Z7DTSZZZA3RCSZDJ","DP_1")</f>
        <v>0</v>
      </c>
      <c r="E6" s="17" cm="1">
        <f t="array" ref="E6">[1]!BexGetCellData("00O2TQ2O5Z7DPSFCWMDG4HMPK","00O2TQ2O5Z7DTSZZZA3RCSZDJ","DP_1")</f>
        <v>0</v>
      </c>
      <c r="F6" s="17" cm="1">
        <f t="array" ref="F6">[1]!BexGetCellData("00O2TQ2O5Z7DPSFCWMDG4HT14","00O2TQ2O5Z7DTSZZZA3RCSZDJ","DP_1")</f>
        <v>0</v>
      </c>
      <c r="G6" s="17" cm="1">
        <f t="array" ref="G6">[1]!BexGetCellData("00O2TQ2O5Z7DPSFCWMDG4HZCO","00O2TQ2O5Z7DTSZZZA3RCSZDJ","DP_1")</f>
        <v>0</v>
      </c>
    </row>
    <row r="7" spans="1:7">
      <c r="A7" s="20" t="str" cm="1">
        <f t="array" ref="A7">[1]!BexGetCellData("","00O2TQ2O5Z7DTSZZZA3RCT5P3","DP_1")</f>
        <v>c2) Personal Médico, Paramédico y afín</v>
      </c>
      <c r="B7" s="17" cm="1">
        <f t="array" ref="B7">[1]!BexGetCellData("00O2TQ2O5Z7DPSFCWMDG4H3QW","00O2TQ2O5Z7DTSZZZA3RCT5P3","DP_1")</f>
        <v>0</v>
      </c>
      <c r="C7" s="17" cm="1">
        <f t="array" ref="C7">[1]!BexGetCellData("00O2TQ2O5Z7DPSFCWMDG4HA2G","00O2TQ2O5Z7DTSZZZA3RCT5P3","DP_1")</f>
        <v>0</v>
      </c>
      <c r="D7" s="17" cm="1">
        <f t="array" ref="D7">[1]!BexGetCellData("00O2TQ2O5Z7DPSFCWMDG4HGE0","00O2TQ2O5Z7DTSZZZA3RCT5P3","DP_1")</f>
        <v>0</v>
      </c>
      <c r="E7" s="17" cm="1">
        <f t="array" ref="E7">[1]!BexGetCellData("00O2TQ2O5Z7DPSFCWMDG4HMPK","00O2TQ2O5Z7DTSZZZA3RCT5P3","DP_1")</f>
        <v>0</v>
      </c>
      <c r="F7" s="17" cm="1">
        <f t="array" ref="F7">[1]!BexGetCellData("00O2TQ2O5Z7DPSFCWMDG4HT14","00O2TQ2O5Z7DTSZZZA3RCT5P3","DP_1")</f>
        <v>0</v>
      </c>
      <c r="G7" s="17" cm="1">
        <f t="array" ref="G7">[1]!BexGetCellData("00O2TQ2O5Z7DPSFCWMDG4HZCO","00O2TQ2O5Z7DTSZZZA3RCT5P3","DP_1")</f>
        <v>0</v>
      </c>
    </row>
    <row r="8" spans="1:7">
      <c r="A8" s="19" t="str" cm="1">
        <f t="array" ref="A8">[1]!BexGetCellData("","00O2TQ2O5Z7DTT002SHJ7SU1Z","DP_1")</f>
        <v>D. Seguridad Pública</v>
      </c>
      <c r="B8" s="16" cm="1">
        <f t="array" ref="B8">[1]!BexGetCellData("00O2TQ2O5Z7DPSFCWMDG4H3QW","00O2TQ2O5Z7DTT002SHJ7SU1Z","DP_1")</f>
        <v>2335021481</v>
      </c>
      <c r="C8" s="16" cm="1">
        <f t="array" ref="C8">[1]!BexGetCellData("00O2TQ2O5Z7DPSFCWMDG4HA2G","00O2TQ2O5Z7DTT002SHJ7SU1Z","DP_1")</f>
        <v>-498896930.08999997</v>
      </c>
      <c r="D8" s="16" cm="1">
        <f t="array" ref="D8">[1]!BexGetCellData("00O2TQ2O5Z7DPSFCWMDG4HGE0","00O2TQ2O5Z7DTT002SHJ7SU1Z","DP_1")</f>
        <v>1836124550.9100001</v>
      </c>
      <c r="E8" s="16" cm="1">
        <f t="array" ref="E8">[1]!BexGetCellData("00O2TQ2O5Z7DPSFCWMDG4HMPK","00O2TQ2O5Z7DTT002SHJ7SU1Z","DP_1")</f>
        <v>1836124550.9100001</v>
      </c>
      <c r="F8" s="16" cm="1">
        <f t="array" ref="F8">[1]!BexGetCellData("00O2TQ2O5Z7DPSFCWMDG4HT14","00O2TQ2O5Z7DTT002SHJ7SU1Z","DP_1")</f>
        <v>1533809160.0699999</v>
      </c>
      <c r="G8" s="17" cm="1">
        <f t="array" ref="G8">[1]!BexGetCellData("00O2TQ2O5Z7DPSFCWMDG4HZCO","00O2TQ2O5Z7DTT002SHJ7SU1Z","DP_1")</f>
        <v>0</v>
      </c>
    </row>
    <row r="9" spans="1:7">
      <c r="A9" s="19" t="str" cm="1">
        <f t="array" ref="A9">[1]!BexGetCellData("","00O2TQ2O5Z7DPSFHJ8Z5KUSFJ","DP_1")</f>
        <v>E. Gastos asoc. nuevas leyes federales o reform. (E = e1+e2)</v>
      </c>
      <c r="B9" s="17" cm="1">
        <f t="array" ref="B9">[1]!BexGetCellData("00O2TQ2O5Z7DPSFCWMDG4H3QW","00O2TQ2O5Z7DPSFHJ8Z5KUSFJ","DP_1")</f>
        <v>0</v>
      </c>
      <c r="C9" s="17" cm="1">
        <f t="array" ref="C9">[1]!BexGetCellData("00O2TQ2O5Z7DPSFCWMDG4HA2G","00O2TQ2O5Z7DPSFHJ8Z5KUSFJ","DP_1")</f>
        <v>0</v>
      </c>
      <c r="D9" s="17" cm="1">
        <f t="array" ref="D9">[1]!BexGetCellData("00O2TQ2O5Z7DPSFCWMDG4HGE0","00O2TQ2O5Z7DPSFHJ8Z5KUSFJ","DP_1")</f>
        <v>0</v>
      </c>
      <c r="E9" s="17" cm="1">
        <f t="array" ref="E9">[1]!BexGetCellData("00O2TQ2O5Z7DPSFCWMDG4HMPK","00O2TQ2O5Z7DPSFHJ8Z5KUSFJ","DP_1")</f>
        <v>0</v>
      </c>
      <c r="F9" s="17" cm="1">
        <f t="array" ref="F9">[1]!BexGetCellData("00O2TQ2O5Z7DPSFCWMDG4HT14","00O2TQ2O5Z7DPSFHJ8Z5KUSFJ","DP_1")</f>
        <v>0</v>
      </c>
      <c r="G9" s="17" cm="1">
        <f t="array" ref="G9">[1]!BexGetCellData("00O2TQ2O5Z7DPSFCWMDG4HZCO","00O2TQ2O5Z7DPSFHJ8Z5KUSFJ","DP_1")</f>
        <v>0</v>
      </c>
    </row>
    <row r="10" spans="1:7">
      <c r="A10" s="20" t="str" cm="1">
        <f t="array" ref="A10">[1]!BexGetCellData("","00O2TQ2O5Z7DPSFHJ8Z5KUYR3","DP_1")</f>
        <v>e1) Nombre del Programa o Ley 1</v>
      </c>
      <c r="B10" s="17" cm="1">
        <f t="array" ref="B10">[1]!BexGetCellData("00O2TQ2O5Z7DPSFCWMDG4H3QW","00O2TQ2O5Z7DPSFHJ8Z5KUYR3","DP_1")</f>
        <v>0</v>
      </c>
      <c r="C10" s="17" cm="1">
        <f t="array" ref="C10">[1]!BexGetCellData("00O2TQ2O5Z7DPSFCWMDG4HA2G","00O2TQ2O5Z7DPSFHJ8Z5KUYR3","DP_1")</f>
        <v>0</v>
      </c>
      <c r="D10" s="17" cm="1">
        <f t="array" ref="D10">[1]!BexGetCellData("00O2TQ2O5Z7DPSFCWMDG4HGE0","00O2TQ2O5Z7DPSFHJ8Z5KUYR3","DP_1")</f>
        <v>0</v>
      </c>
      <c r="E10" s="17" cm="1">
        <f t="array" ref="E10">[1]!BexGetCellData("00O2TQ2O5Z7DPSFCWMDG4HMPK","00O2TQ2O5Z7DPSFHJ8Z5KUYR3","DP_1")</f>
        <v>0</v>
      </c>
      <c r="F10" s="17" cm="1">
        <f t="array" ref="F10">[1]!BexGetCellData("00O2TQ2O5Z7DPSFCWMDG4HT14","00O2TQ2O5Z7DPSFHJ8Z5KUYR3","DP_1")</f>
        <v>0</v>
      </c>
      <c r="G10" s="17" cm="1">
        <f t="array" ref="G10">[1]!BexGetCellData("00O2TQ2O5Z7DPSFCWMDG4HZCO","00O2TQ2O5Z7DPSFHJ8Z5KUYR3","DP_1")</f>
        <v>0</v>
      </c>
    </row>
    <row r="11" spans="1:7">
      <c r="A11" s="20" t="str" cm="1">
        <f t="array" ref="A11">[1]!BexGetCellData("","00O2TQ2O5Z7DPSFHJ8Z5KV52N","DP_1")</f>
        <v>e2) Nombre del Programa o Ley 2</v>
      </c>
      <c r="B11" s="17" cm="1">
        <f t="array" ref="B11">[1]!BexGetCellData("00O2TQ2O5Z7DPSFCWMDG4H3QW","00O2TQ2O5Z7DPSFHJ8Z5KV52N","DP_1")</f>
        <v>0</v>
      </c>
      <c r="C11" s="17" cm="1">
        <f t="array" ref="C11">[1]!BexGetCellData("00O2TQ2O5Z7DPSFCWMDG4HA2G","00O2TQ2O5Z7DPSFHJ8Z5KV52N","DP_1")</f>
        <v>0</v>
      </c>
      <c r="D11" s="17" cm="1">
        <f t="array" ref="D11">[1]!BexGetCellData("00O2TQ2O5Z7DPSFCWMDG4HGE0","00O2TQ2O5Z7DPSFHJ8Z5KV52N","DP_1")</f>
        <v>0</v>
      </c>
      <c r="E11" s="17" cm="1">
        <f t="array" ref="E11">[1]!BexGetCellData("00O2TQ2O5Z7DPSFCWMDG4HMPK","00O2TQ2O5Z7DPSFHJ8Z5KV52N","DP_1")</f>
        <v>0</v>
      </c>
      <c r="F11" s="17" cm="1">
        <f t="array" ref="F11">[1]!BexGetCellData("00O2TQ2O5Z7DPSFCWMDG4HT14","00O2TQ2O5Z7DPSFHJ8Z5KV52N","DP_1")</f>
        <v>0</v>
      </c>
      <c r="G11" s="17" cm="1">
        <f t="array" ref="G11">[1]!BexGetCellData("00O2TQ2O5Z7DPSFCWMDG4HZCO","00O2TQ2O5Z7DPSFHJ8Z5KV52N","DP_1")</f>
        <v>0</v>
      </c>
    </row>
    <row r="12" spans="1:7">
      <c r="A12" s="19" t="str" cm="1">
        <f t="array" ref="A12">[1]!BexGetCellData("","00O2TQ2O5Z7DTT007YNSBEE5R","DP_1")</f>
        <v>F. Sentencias laborales definitivas</v>
      </c>
      <c r="B12" s="16" cm="1">
        <f t="array" ref="B12">[1]!BexGetCellData("00O2TQ2O5Z7DPSFCWMDG4H3QW","00O2TQ2O5Z7DTT007YNSBEE5R","DP_1")</f>
        <v>47000000</v>
      </c>
      <c r="C12" s="16" cm="1">
        <f t="array" ref="C12">[1]!BexGetCellData("00O2TQ2O5Z7DPSFCWMDG4HA2G","00O2TQ2O5Z7DTT007YNSBEE5R","DP_1")</f>
        <v>125752330.53</v>
      </c>
      <c r="D12" s="16" cm="1">
        <f t="array" ref="D12">[1]!BexGetCellData("00O2TQ2O5Z7DPSFCWMDG4HGE0","00O2TQ2O5Z7DTT007YNSBEE5R","DP_1")</f>
        <v>172752330.53</v>
      </c>
      <c r="E12" s="16" cm="1">
        <f t="array" ref="E12">[1]!BexGetCellData("00O2TQ2O5Z7DPSFCWMDG4HMPK","00O2TQ2O5Z7DTT007YNSBEE5R","DP_1")</f>
        <v>172752330.53</v>
      </c>
      <c r="F12" s="16" cm="1">
        <f t="array" ref="F12">[1]!BexGetCellData("00O2TQ2O5Z7DPSFCWMDG4HT14","00O2TQ2O5Z7DTT007YNSBEE5R","DP_1")</f>
        <v>52561586.329999998</v>
      </c>
      <c r="G12" s="17" cm="1">
        <f t="array" ref="G12">[1]!BexGetCellData("00O2TQ2O5Z7DPSFCWMDG4HZCO","00O2TQ2O5Z7DTT007YNSBEE5R","DP_1")</f>
        <v>0</v>
      </c>
    </row>
    <row r="13" spans="1:7">
      <c r="A13" s="18" t="str" cm="1">
        <f t="array" ref="A13">[1]!BexGetCellData("","00O2TQ2O5Z7DPSFDOG3JEH5SU","DP_1")</f>
        <v>II. Gasto Etiquetado (II=A+B+C+D+E+F)</v>
      </c>
      <c r="B13" s="16" cm="1">
        <f t="array" ref="B13">[1]!BexGetCellData("00O2TQ2O5Z7DPSFCWMDG4H3QW","00O2TQ2O5Z7DPSFDOG3JEH5SU","DP_1")</f>
        <v>16935963601</v>
      </c>
      <c r="C13" s="16" cm="1">
        <f t="array" ref="C13">[1]!BexGetCellData("00O2TQ2O5Z7DPSFCWMDG4HA2G","00O2TQ2O5Z7DPSFDOG3JEH5SU","DP_1")</f>
        <v>3269558143.2199998</v>
      </c>
      <c r="D13" s="16" cm="1">
        <f t="array" ref="D13">[1]!BexGetCellData("00O2TQ2O5Z7DPSFCWMDG4HGE0","00O2TQ2O5Z7DPSFDOG3JEH5SU","DP_1")</f>
        <v>20205521744.220001</v>
      </c>
      <c r="E13" s="16" cm="1">
        <f t="array" ref="E13">[1]!BexGetCellData("00O2TQ2O5Z7DPSFCWMDG4HMPK","00O2TQ2O5Z7DPSFDOG3JEH5SU","DP_1")</f>
        <v>20198640813.389999</v>
      </c>
      <c r="F13" s="16" cm="1">
        <f t="array" ref="F13">[1]!BexGetCellData("00O2TQ2O5Z7DPSFCWMDG4HT14","00O2TQ2O5Z7DPSFDOG3JEH5SU","DP_1")</f>
        <v>20041845360.919998</v>
      </c>
      <c r="G13" s="16" cm="1">
        <f t="array" ref="G13">[1]!BexGetCellData("00O2TQ2O5Z7DPSFCWMDG4HZCO","00O2TQ2O5Z7DPSFDOG3JEH5SU","DP_1")</f>
        <v>6880930.8300000001</v>
      </c>
    </row>
    <row r="14" spans="1:7">
      <c r="A14" s="19" t="str" cm="1">
        <f t="array" ref="A14">[1]!BexGetCellData("","00O2TQ2O5Z7DTT00FOBCFJN0L","DP_1")</f>
        <v>A. Personal Administrativo y de Servicio Público.</v>
      </c>
      <c r="B14" s="17" cm="1">
        <f t="array" ref="B14">[1]!BexGetCellData("00O2TQ2O5Z7DPSFCWMDG4H3QW","00O2TQ2O5Z7DTT00FOBCFJN0L","DP_1")</f>
        <v>0</v>
      </c>
      <c r="C14" s="17" cm="1">
        <f t="array" ref="C14">[1]!BexGetCellData("00O2TQ2O5Z7DPSFCWMDG4HA2G","00O2TQ2O5Z7DTT00FOBCFJN0L","DP_1")</f>
        <v>0</v>
      </c>
      <c r="D14" s="17" cm="1">
        <f t="array" ref="D14">[1]!BexGetCellData("00O2TQ2O5Z7DPSFCWMDG4HGE0","00O2TQ2O5Z7DTT00FOBCFJN0L","DP_1")</f>
        <v>0</v>
      </c>
      <c r="E14" s="17" cm="1">
        <f t="array" ref="E14">[1]!BexGetCellData("00O2TQ2O5Z7DPSFCWMDG4HMPK","00O2TQ2O5Z7DTT00FOBCFJN0L","DP_1")</f>
        <v>0</v>
      </c>
      <c r="F14" s="17" cm="1">
        <f t="array" ref="F14">[1]!BexGetCellData("00O2TQ2O5Z7DPSFCWMDG4HT14","00O2TQ2O5Z7DTT00FOBCFJN0L","DP_1")</f>
        <v>0</v>
      </c>
      <c r="G14" s="17" cm="1">
        <f t="array" ref="G14">[1]!BexGetCellData("00O2TQ2O5Z7DPSFCWMDG4HZCO","00O2TQ2O5Z7DTT00FOBCFJN0L","DP_1")</f>
        <v>0</v>
      </c>
    </row>
    <row r="15" spans="1:7">
      <c r="A15" s="19" t="str" cm="1">
        <f t="array" ref="A15">[1]!BexGetCellData("","00O2TQ2O5Z7DTT00T1J4BBL2R","DP_1")</f>
        <v>B. Magisterio.</v>
      </c>
      <c r="B15" s="16" cm="1">
        <f t="array" ref="B15">[1]!BexGetCellData("00O2TQ2O5Z7DPSFCWMDG4H3QW","00O2TQ2O5Z7DTT00T1J4BBL2R","DP_1")</f>
        <v>16935963601</v>
      </c>
      <c r="C15" s="16" cm="1">
        <f t="array" ref="C15">[1]!BexGetCellData("00O2TQ2O5Z7DPSFCWMDG4HA2G","00O2TQ2O5Z7DTT00T1J4BBL2R","DP_1")</f>
        <v>3269558143.2199998</v>
      </c>
      <c r="D15" s="16" cm="1">
        <f t="array" ref="D15">[1]!BexGetCellData("00O2TQ2O5Z7DPSFCWMDG4HGE0","00O2TQ2O5Z7DTT00T1J4BBL2R","DP_1")</f>
        <v>20205521744.220001</v>
      </c>
      <c r="E15" s="16" cm="1">
        <f t="array" ref="E15">[1]!BexGetCellData("00O2TQ2O5Z7DPSFCWMDG4HMPK","00O2TQ2O5Z7DTT00T1J4BBL2R","DP_1")</f>
        <v>20198640813.389999</v>
      </c>
      <c r="F15" s="16" cm="1">
        <f t="array" ref="F15">[1]!BexGetCellData("00O2TQ2O5Z7DPSFCWMDG4HT14","00O2TQ2O5Z7DTT00T1J4BBL2R","DP_1")</f>
        <v>20041845360.919998</v>
      </c>
      <c r="G15" s="16" cm="1">
        <f t="array" ref="G15">[1]!BexGetCellData("00O2TQ2O5Z7DPSFCWMDG4HZCO","00O2TQ2O5Z7DTT00T1J4BBL2R","DP_1")</f>
        <v>6880930.8300000001</v>
      </c>
    </row>
    <row r="16" spans="1:7">
      <c r="A16" s="19" t="str" cm="1">
        <f t="array" ref="A16">[1]!BexGetCellData("","00O2TQ2O5Z7DTT00T1J4BBER7","DP_1")</f>
        <v>C. Servicios de Salud (C=c1+c2).</v>
      </c>
      <c r="B16" s="17" cm="1">
        <f t="array" ref="B16">[1]!BexGetCellData("00O2TQ2O5Z7DPSFCWMDG4H3QW","00O2TQ2O5Z7DTT00T1J4BBER7","DP_1")</f>
        <v>0</v>
      </c>
      <c r="C16" s="17" cm="1">
        <f t="array" ref="C16">[1]!BexGetCellData("00O2TQ2O5Z7DPSFCWMDG4HA2G","00O2TQ2O5Z7DTT00T1J4BBER7","DP_1")</f>
        <v>0</v>
      </c>
      <c r="D16" s="17" cm="1">
        <f t="array" ref="D16">[1]!BexGetCellData("00O2TQ2O5Z7DPSFCWMDG4HGE0","00O2TQ2O5Z7DTT00T1J4BBER7","DP_1")</f>
        <v>0</v>
      </c>
      <c r="E16" s="17" cm="1">
        <f t="array" ref="E16">[1]!BexGetCellData("00O2TQ2O5Z7DPSFCWMDG4HMPK","00O2TQ2O5Z7DTT00T1J4BBER7","DP_1")</f>
        <v>0</v>
      </c>
      <c r="F16" s="17" cm="1">
        <f t="array" ref="F16">[1]!BexGetCellData("00O2TQ2O5Z7DPSFCWMDG4HT14","00O2TQ2O5Z7DTT00T1J4BBER7","DP_1")</f>
        <v>0</v>
      </c>
      <c r="G16" s="17" cm="1">
        <f t="array" ref="G16">[1]!BexGetCellData("00O2TQ2O5Z7DPSFCWMDG4HZCO","00O2TQ2O5Z7DTT00T1J4BBER7","DP_1")</f>
        <v>0</v>
      </c>
    </row>
    <row r="17" spans="1:7">
      <c r="A17" s="20" t="str" cm="1">
        <f t="array" ref="A17">[1]!BexGetCellData("","00O2TQ2O5Z7DTT00T1J4BBREB","DP_1")</f>
        <v>c1) Personal Administrativo.</v>
      </c>
      <c r="B17" s="17" cm="1">
        <f t="array" ref="B17">[1]!BexGetCellData("00O2TQ2O5Z7DPSFCWMDG4H3QW","00O2TQ2O5Z7DTT00T1J4BBREB","DP_1")</f>
        <v>0</v>
      </c>
      <c r="C17" s="17" cm="1">
        <f t="array" ref="C17">[1]!BexGetCellData("00O2TQ2O5Z7DPSFCWMDG4HA2G","00O2TQ2O5Z7DTT00T1J4BBREB","DP_1")</f>
        <v>0</v>
      </c>
      <c r="D17" s="17" cm="1">
        <f t="array" ref="D17">[1]!BexGetCellData("00O2TQ2O5Z7DPSFCWMDG4HGE0","00O2TQ2O5Z7DTT00T1J4BBREB","DP_1")</f>
        <v>0</v>
      </c>
      <c r="E17" s="17" cm="1">
        <f t="array" ref="E17">[1]!BexGetCellData("00O2TQ2O5Z7DPSFCWMDG4HMPK","00O2TQ2O5Z7DTT00T1J4BBREB","DP_1")</f>
        <v>0</v>
      </c>
      <c r="F17" s="17" cm="1">
        <f t="array" ref="F17">[1]!BexGetCellData("00O2TQ2O5Z7DPSFCWMDG4HT14","00O2TQ2O5Z7DTT00T1J4BBREB","DP_1")</f>
        <v>0</v>
      </c>
      <c r="G17" s="17" cm="1">
        <f t="array" ref="G17">[1]!BexGetCellData("00O2TQ2O5Z7DPSFCWMDG4HZCO","00O2TQ2O5Z7DTT00T1J4BBREB","DP_1")</f>
        <v>0</v>
      </c>
    </row>
    <row r="18" spans="1:7">
      <c r="A18" s="20" t="str" cm="1">
        <f t="array" ref="A18">[1]!BexGetCellData("","00O2TQ2O5Z7DTT00T1J4BBXPV","DP_1")</f>
        <v>c2) Personal Médico, Paramédico y afín.</v>
      </c>
      <c r="B18" s="17" cm="1">
        <f t="array" ref="B18">[1]!BexGetCellData("00O2TQ2O5Z7DPSFCWMDG4H3QW","00O2TQ2O5Z7DTT00T1J4BBXPV","DP_1")</f>
        <v>0</v>
      </c>
      <c r="C18" s="17" cm="1">
        <f t="array" ref="C18">[1]!BexGetCellData("00O2TQ2O5Z7DPSFCWMDG4HA2G","00O2TQ2O5Z7DTT00T1J4BBXPV","DP_1")</f>
        <v>0</v>
      </c>
      <c r="D18" s="17" cm="1">
        <f t="array" ref="D18">[1]!BexGetCellData("00O2TQ2O5Z7DPSFCWMDG4HGE0","00O2TQ2O5Z7DTT00T1J4BBXPV","DP_1")</f>
        <v>0</v>
      </c>
      <c r="E18" s="17" cm="1">
        <f t="array" ref="E18">[1]!BexGetCellData("00O2TQ2O5Z7DPSFCWMDG4HMPK","00O2TQ2O5Z7DTT00T1J4BBXPV","DP_1")</f>
        <v>0</v>
      </c>
      <c r="F18" s="17" cm="1">
        <f t="array" ref="F18">[1]!BexGetCellData("00O2TQ2O5Z7DPSFCWMDG4HT14","00O2TQ2O5Z7DTT00T1J4BBXPV","DP_1")</f>
        <v>0</v>
      </c>
      <c r="G18" s="17" cm="1">
        <f t="array" ref="G18">[1]!BexGetCellData("00O2TQ2O5Z7DPSFCWMDG4HZCO","00O2TQ2O5Z7DTT00T1J4BBXPV","DP_1")</f>
        <v>0</v>
      </c>
    </row>
    <row r="19" spans="1:7">
      <c r="A19" s="19" t="str" cm="1">
        <f t="array" ref="A19">[1]!BexGetCellData("","00O2TQ2O5Z7DTT01BJKIYVFL9","DP_1")</f>
        <v>D. Seguridad Pública.</v>
      </c>
      <c r="B19" s="17" cm="1">
        <f t="array" ref="B19">[1]!BexGetCellData("00O2TQ2O5Z7DPSFCWMDG4H3QW","00O2TQ2O5Z7DTT01BJKIYVFL9","DP_1")</f>
        <v>0</v>
      </c>
      <c r="C19" s="17" cm="1">
        <f t="array" ref="C19">[1]!BexGetCellData("00O2TQ2O5Z7DPSFCWMDG4HA2G","00O2TQ2O5Z7DTT01BJKIYVFL9","DP_1")</f>
        <v>0</v>
      </c>
      <c r="D19" s="17" cm="1">
        <f t="array" ref="D19">[1]!BexGetCellData("00O2TQ2O5Z7DPSFCWMDG4HGE0","00O2TQ2O5Z7DTT01BJKIYVFL9","DP_1")</f>
        <v>0</v>
      </c>
      <c r="E19" s="17" cm="1">
        <f t="array" ref="E19">[1]!BexGetCellData("00O2TQ2O5Z7DPSFCWMDG4HMPK","00O2TQ2O5Z7DTT01BJKIYVFL9","DP_1")</f>
        <v>0</v>
      </c>
      <c r="F19" s="17" cm="1">
        <f t="array" ref="F19">[1]!BexGetCellData("00O2TQ2O5Z7DPSFCWMDG4HT14","00O2TQ2O5Z7DTT01BJKIYVFL9","DP_1")</f>
        <v>0</v>
      </c>
      <c r="G19" s="17" cm="1">
        <f t="array" ref="G19">[1]!BexGetCellData("00O2TQ2O5Z7DPSFCWMDG4HZCO","00O2TQ2O5Z7DTT01BJKIYVFL9","DP_1")</f>
        <v>0</v>
      </c>
    </row>
    <row r="20" spans="1:7">
      <c r="A20" s="19" t="str" cm="1">
        <f t="array" ref="A20">[1]!BexGetCellData("","00O2TQ2O5Z7DPSFDUBTEGG7FT","DP_1")</f>
        <v>E. Gastos asoc. nuevas leyes federales o reform. (E = e1+e2)</v>
      </c>
      <c r="B20" s="17" cm="1">
        <f t="array" ref="B20">[1]!BexGetCellData("00O2TQ2O5Z7DPSFCWMDG4H3QW","00O2TQ2O5Z7DPSFDUBTEGG7FT","DP_1")</f>
        <v>0</v>
      </c>
      <c r="C20" s="17" cm="1">
        <f t="array" ref="C20">[1]!BexGetCellData("00O2TQ2O5Z7DPSFCWMDG4HA2G","00O2TQ2O5Z7DPSFDUBTEGG7FT","DP_1")</f>
        <v>0</v>
      </c>
      <c r="D20" s="17" cm="1">
        <f t="array" ref="D20">[1]!BexGetCellData("00O2TQ2O5Z7DPSFCWMDG4HGE0","00O2TQ2O5Z7DPSFDUBTEGG7FT","DP_1")</f>
        <v>0</v>
      </c>
      <c r="E20" s="17" cm="1">
        <f t="array" ref="E20">[1]!BexGetCellData("00O2TQ2O5Z7DPSFCWMDG4HMPK","00O2TQ2O5Z7DPSFDUBTEGG7FT","DP_1")</f>
        <v>0</v>
      </c>
      <c r="F20" s="17" cm="1">
        <f t="array" ref="F20">[1]!BexGetCellData("00O2TQ2O5Z7DPSFCWMDG4HT14","00O2TQ2O5Z7DPSFDUBTEGG7FT","DP_1")</f>
        <v>0</v>
      </c>
      <c r="G20" s="17" cm="1">
        <f t="array" ref="G20">[1]!BexGetCellData("00O2TQ2O5Z7DPSFCWMDG4HZCO","00O2TQ2O5Z7DPSFDUBTEGG7FT","DP_1")</f>
        <v>0</v>
      </c>
    </row>
    <row r="21" spans="1:7">
      <c r="A21" s="20" t="str" cm="1">
        <f t="array" ref="A21">[1]!BexGetCellData("","00O2TQ2O5Z7DPSFG8TQENM21E","DP_1")</f>
        <v>e1) Nombre del Programa o Ley 1</v>
      </c>
      <c r="B21" s="17" cm="1">
        <f t="array" ref="B21">[1]!BexGetCellData("00O2TQ2O5Z7DPSFCWMDG4H3QW","00O2TQ2O5Z7DPSFG8TQENM21E","DP_1")</f>
        <v>0</v>
      </c>
      <c r="C21" s="17" cm="1">
        <f t="array" ref="C21">[1]!BexGetCellData("00O2TQ2O5Z7DPSFCWMDG4HA2G","00O2TQ2O5Z7DPSFG8TQENM21E","DP_1")</f>
        <v>0</v>
      </c>
      <c r="D21" s="17" cm="1">
        <f t="array" ref="D21">[1]!BexGetCellData("00O2TQ2O5Z7DPSFCWMDG4HGE0","00O2TQ2O5Z7DPSFG8TQENM21E","DP_1")</f>
        <v>0</v>
      </c>
      <c r="E21" s="17" cm="1">
        <f t="array" ref="E21">[1]!BexGetCellData("00O2TQ2O5Z7DPSFCWMDG4HMPK","00O2TQ2O5Z7DPSFG8TQENM21E","DP_1")</f>
        <v>0</v>
      </c>
      <c r="F21" s="17" cm="1">
        <f t="array" ref="F21">[1]!BexGetCellData("00O2TQ2O5Z7DPSFCWMDG4HT14","00O2TQ2O5Z7DPSFG8TQENM21E","DP_1")</f>
        <v>0</v>
      </c>
      <c r="G21" s="17" cm="1">
        <f t="array" ref="G21">[1]!BexGetCellData("00O2TQ2O5Z7DPSFCWMDG4HZCO","00O2TQ2O5Z7DPSFG8TQENM21E","DP_1")</f>
        <v>0</v>
      </c>
    </row>
    <row r="22" spans="1:7">
      <c r="A22" s="20" t="str" cm="1">
        <f t="array" ref="A22">[1]!BexGetCellData("","00O2TQ2O5Z7DPSFG8TQENM8CY","DP_1")</f>
        <v>e2) Nombre del Programa o Ley 2</v>
      </c>
      <c r="B22" s="17" cm="1">
        <f t="array" ref="B22">[1]!BexGetCellData("00O2TQ2O5Z7DPSFCWMDG4H3QW","00O2TQ2O5Z7DPSFG8TQENM8CY","DP_1")</f>
        <v>0</v>
      </c>
      <c r="C22" s="17" cm="1">
        <f t="array" ref="C22">[1]!BexGetCellData("00O2TQ2O5Z7DPSFCWMDG4HA2G","00O2TQ2O5Z7DPSFG8TQENM8CY","DP_1")</f>
        <v>0</v>
      </c>
      <c r="D22" s="17" cm="1">
        <f t="array" ref="D22">[1]!BexGetCellData("00O2TQ2O5Z7DPSFCWMDG4HGE0","00O2TQ2O5Z7DPSFG8TQENM8CY","DP_1")</f>
        <v>0</v>
      </c>
      <c r="E22" s="17" cm="1">
        <f t="array" ref="E22">[1]!BexGetCellData("00O2TQ2O5Z7DPSFCWMDG4HMPK","00O2TQ2O5Z7DPSFG8TQENM8CY","DP_1")</f>
        <v>0</v>
      </c>
      <c r="F22" s="17" cm="1">
        <f t="array" ref="F22">[1]!BexGetCellData("00O2TQ2O5Z7DPSFCWMDG4HT14","00O2TQ2O5Z7DPSFG8TQENM8CY","DP_1")</f>
        <v>0</v>
      </c>
      <c r="G22" s="17" cm="1">
        <f t="array" ref="G22">[1]!BexGetCellData("00O2TQ2O5Z7DPSFCWMDG4HZCO","00O2TQ2O5Z7DPSFG8TQENM8CY","DP_1")</f>
        <v>0</v>
      </c>
    </row>
    <row r="23" spans="1:7">
      <c r="A23" s="19" t="str" cm="1">
        <f t="array" ref="A23">[1]!BexGetCellData("","00O2TQ2O5Z7DTT01BJKIYVLWT","DP_1")</f>
        <v>F. Sentencias laborales definitivas.</v>
      </c>
      <c r="B23" s="17" cm="1">
        <f t="array" ref="B23">[1]!BexGetCellData("00O2TQ2O5Z7DPSFCWMDG4H3QW","00O2TQ2O5Z7DTT01BJKIYVLWT","DP_1")</f>
        <v>0</v>
      </c>
      <c r="C23" s="17" cm="1">
        <f t="array" ref="C23">[1]!BexGetCellData("00O2TQ2O5Z7DPSFCWMDG4HA2G","00O2TQ2O5Z7DTT01BJKIYVLWT","DP_1")</f>
        <v>0</v>
      </c>
      <c r="D23" s="17" cm="1">
        <f t="array" ref="D23">[1]!BexGetCellData("00O2TQ2O5Z7DPSFCWMDG4HGE0","00O2TQ2O5Z7DTT01BJKIYVLWT","DP_1")</f>
        <v>0</v>
      </c>
      <c r="E23" s="17" cm="1">
        <f t="array" ref="E23">[1]!BexGetCellData("00O2TQ2O5Z7DPSFCWMDG4HMPK","00O2TQ2O5Z7DTT01BJKIYVLWT","DP_1")</f>
        <v>0</v>
      </c>
      <c r="F23" s="17" cm="1">
        <f t="array" ref="F23">[1]!BexGetCellData("00O2TQ2O5Z7DPSFCWMDG4HT14","00O2TQ2O5Z7DTT01BJKIYVLWT","DP_1")</f>
        <v>0</v>
      </c>
      <c r="G23" s="17" cm="1">
        <f t="array" ref="G23">[1]!BexGetCellData("00O2TQ2O5Z7DPSFCWMDG4HZCO","00O2TQ2O5Z7DTT01BJKIYVLWT","DP_1")</f>
        <v>0</v>
      </c>
    </row>
    <row r="24" spans="1:7">
      <c r="A24" s="18" t="str" cm="1">
        <f t="array" ref="A24">[1]!BexGetCellData("","00O2TQ2O5Z7DPSFM7Q98ICB76","DP_1")</f>
        <v>III. Total del Gasto en Servicios Personales (III = I + II)</v>
      </c>
      <c r="B24" s="16" cm="1">
        <f t="array" ref="B24">[1]!BexGetCellData("00O2TQ2O5Z7DPSFCWMDG4H3QW","00O2TQ2O5Z7DPSFM7Q98ICB76","DP_1")</f>
        <v>26080643024</v>
      </c>
      <c r="C24" s="16" cm="1">
        <f t="array" ref="C24">[1]!BexGetCellData("00O2TQ2O5Z7DPSFCWMDG4HA2G","00O2TQ2O5Z7DPSFM7Q98ICB76","DP_1")</f>
        <v>3663432496.9699998</v>
      </c>
      <c r="D24" s="16" cm="1">
        <f t="array" ref="D24">[1]!BexGetCellData("00O2TQ2O5Z7DPSFCWMDG4HGE0","00O2TQ2O5Z7DPSFM7Q98ICB76","DP_1")</f>
        <v>29744075520.970001</v>
      </c>
      <c r="E24" s="16" cm="1">
        <f t="array" ref="E24">[1]!BexGetCellData("00O2TQ2O5Z7DPSFCWMDG4HMPK","00O2TQ2O5Z7DPSFM7Q98ICB76","DP_1")</f>
        <v>29706443786.639999</v>
      </c>
      <c r="F24" s="16" cm="1">
        <f t="array" ref="F24">[1]!BexGetCellData("00O2TQ2O5Z7DPSFCWMDG4HT14","00O2TQ2O5Z7DPSFM7Q98ICB76","DP_1")</f>
        <v>28189454750.509998</v>
      </c>
      <c r="G24" s="16" cm="1">
        <f t="array" ref="G24">[1]!BexGetCellData("00O2TQ2O5Z7DPSFCWMDG4HZCO","00O2TQ2O5Z7DPSFM7Q98ICB76","DP_1")</f>
        <v>37631734.329999998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FA195C-28EB-4175-A41A-64FA08F4F17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6d. Servicios Personales x Cate</vt:lpstr>
      <vt:lpstr>Servicios de Salud</vt:lpstr>
      <vt:lpstr>fuente1</vt:lpstr>
      <vt:lpstr>'6d. Servicios Personales x Cate'!Área_de_impresión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hcervantes</cp:lastModifiedBy>
  <cp:lastPrinted>2021-05-06T16:36:18Z</cp:lastPrinted>
  <dcterms:created xsi:type="dcterms:W3CDTF">2017-07-25T20:59:38Z</dcterms:created>
  <dcterms:modified xsi:type="dcterms:W3CDTF">2021-05-06T16:36:20Z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Personales.xlsx</vt:lpwstr>
  </property>
</Properties>
</file>